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octet-stream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013952\Downloads\"/>
    </mc:Choice>
  </mc:AlternateContent>
  <workbookProtection workbookAlgorithmName="SHA-512" workbookHashValue="DY3yQOdAL6CufomBEBFXGdapoGeM1ya9iQbADnGRD+/5gGYWd8CA/UxAivZEhWVdEQta4BV4YHFnP9NlBkHC2w==" workbookSaltValue="lG6X5dsFOZ1EA6o/hGM7Rg==" workbookSpinCount="100000" lockStructure="1"/>
  <bookViews>
    <workbookView xWindow="0" yWindow="0" windowWidth="23040" windowHeight="9192" tabRatio="453" firstSheet="1" activeTab="1"/>
  </bookViews>
  <sheets>
    <sheet name="General" sheetId="2" state="hidden" r:id="rId1"/>
    <sheet name="Cronograma" sheetId="7" r:id="rId2"/>
    <sheet name="BD" sheetId="6" state="hidden" r:id="rId3"/>
    <sheet name="Cargos" sheetId="8" state="hidden" r:id="rId4"/>
  </sheets>
  <externalReferences>
    <externalReference r:id="rId5"/>
  </externalReferences>
  <definedNames>
    <definedName name="_xlnm.Print_Area" localSheetId="1">Cronograma!$B$2:$R$124</definedName>
    <definedName name="BJudicial">General!$C$53:$C$54</definedName>
    <definedName name="BUSQUEDA">[1]BD!$B$5:$B$6</definedName>
    <definedName name="LISTA">BD!$B$2:$B$35</definedName>
    <definedName name="LISTA2">BD!$B$15:$B$15</definedName>
    <definedName name="_xlnm.Print_Titles" localSheetId="1">Cronograma!$2:$15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oundtripDataSignature="AMtx7mgp8EAXVKZoayGvIMYYLVmJB68tDg==" r:id="rId10"/>
    </ext>
  </extLst>
</workbook>
</file>

<file path=xl/calcChain.xml><?xml version="1.0" encoding="utf-8"?>
<calcChain xmlns="http://schemas.openxmlformats.org/spreadsheetml/2006/main">
  <c r="Q11" i="7" l="1"/>
  <c r="U6" i="7" l="1"/>
  <c r="G53" i="2"/>
  <c r="J56" i="2"/>
  <c r="T37" i="2" l="1"/>
  <c r="S37" i="2" s="1"/>
  <c r="I56" i="2"/>
  <c r="R37" i="2" l="1"/>
  <c r="S35" i="2" s="1"/>
  <c r="I14" i="2" l="1"/>
  <c r="H15" i="2" s="1"/>
  <c r="G15" i="2" l="1"/>
  <c r="R35" i="2"/>
  <c r="F15" i="2" l="1"/>
  <c r="E15" i="2" s="1"/>
  <c r="Q35" i="2" l="1"/>
  <c r="P35" i="2" s="1"/>
  <c r="O35" i="2" l="1"/>
  <c r="I55" i="2" l="1"/>
  <c r="E28" i="2" s="1"/>
  <c r="O37" i="2" l="1"/>
  <c r="O38" i="2" l="1"/>
  <c r="O39" i="2" s="1"/>
  <c r="M39" i="2" l="1"/>
  <c r="N38" i="2" s="1"/>
  <c r="J37" i="2"/>
  <c r="J38" i="2"/>
  <c r="N39" i="2" l="1"/>
  <c r="E34" i="2" s="1"/>
  <c r="G51" i="2" l="1"/>
  <c r="I51" i="2"/>
  <c r="G52" i="2"/>
  <c r="M90" i="7" l="1"/>
  <c r="M91" i="7"/>
  <c r="M92" i="7"/>
  <c r="M94" i="7"/>
  <c r="R90" i="7"/>
  <c r="R91" i="7"/>
  <c r="R92" i="7"/>
  <c r="P94" i="7"/>
  <c r="P90" i="7"/>
  <c r="P91" i="7"/>
  <c r="P92" i="7"/>
  <c r="Q92" i="7" l="1"/>
  <c r="Q91" i="7"/>
  <c r="Q90" i="7"/>
  <c r="J94" i="7"/>
  <c r="I94" i="7"/>
  <c r="J92" i="7"/>
  <c r="I92" i="7"/>
  <c r="J91" i="7"/>
  <c r="I91" i="7"/>
  <c r="J90" i="7"/>
  <c r="I90" i="7"/>
  <c r="E14" i="2" l="1"/>
  <c r="F14" i="2" s="1"/>
  <c r="N51" i="2" l="1"/>
  <c r="G55" i="2" l="1"/>
  <c r="H37" i="2" s="1"/>
  <c r="E48" i="2" s="1"/>
  <c r="G54" i="2"/>
  <c r="U9" i="7" l="1"/>
  <c r="K51" i="2" l="1"/>
  <c r="J55" i="2" s="1"/>
  <c r="E55" i="2"/>
  <c r="U8" i="7"/>
  <c r="E51" i="2"/>
  <c r="I54" i="2" l="1"/>
  <c r="Q10" i="7" l="1"/>
  <c r="E27" i="2" l="1"/>
  <c r="E29" i="2" s="1"/>
  <c r="U10" i="7" l="1"/>
  <c r="O90" i="7" l="1"/>
  <c r="N90" i="7"/>
  <c r="L90" i="7"/>
  <c r="K90" i="7"/>
  <c r="H90" i="7"/>
  <c r="G90" i="7"/>
  <c r="F90" i="7"/>
  <c r="E90" i="7"/>
  <c r="D90" i="7"/>
  <c r="AC24" i="7"/>
  <c r="AC33" i="7" s="1"/>
  <c r="B18" i="7"/>
  <c r="K16" i="7"/>
  <c r="S13" i="7"/>
  <c r="O17" i="7" l="1"/>
  <c r="B19" i="7"/>
  <c r="O18" i="7" l="1"/>
  <c r="B20" i="7"/>
  <c r="B21" i="7" l="1"/>
  <c r="O19" i="7"/>
  <c r="B22" i="7" l="1"/>
  <c r="B23" i="7" s="1"/>
  <c r="O20" i="7"/>
  <c r="O21" i="7" l="1"/>
  <c r="O22" i="7"/>
  <c r="B24" i="7"/>
  <c r="B25" i="7" l="1"/>
  <c r="O23" i="7"/>
  <c r="B26" i="7" l="1"/>
  <c r="O24" i="7"/>
  <c r="O25" i="7" l="1"/>
  <c r="B27" i="7"/>
  <c r="B28" i="7" l="1"/>
  <c r="O26" i="7"/>
  <c r="O27" i="7" l="1"/>
  <c r="B29" i="7"/>
  <c r="B30" i="7" l="1"/>
  <c r="O28" i="7"/>
  <c r="O29" i="7" l="1"/>
  <c r="B31" i="7"/>
  <c r="B32" i="7" l="1"/>
  <c r="O30" i="7"/>
  <c r="B33" i="7" l="1"/>
  <c r="O31" i="7"/>
  <c r="O32" i="7" l="1"/>
  <c r="B34" i="7"/>
  <c r="B35" i="7" l="1"/>
  <c r="O33" i="7"/>
  <c r="O34" i="7" l="1"/>
  <c r="B36" i="7"/>
  <c r="B37" i="7" l="1"/>
  <c r="O35" i="7"/>
  <c r="O36" i="7" l="1"/>
  <c r="B38" i="7"/>
  <c r="B39" i="7" l="1"/>
  <c r="O37" i="7"/>
  <c r="O38" i="7" l="1"/>
  <c r="B40" i="7"/>
  <c r="B41" i="7" l="1"/>
  <c r="O39" i="7"/>
  <c r="O40" i="7" l="1"/>
  <c r="B42" i="7"/>
  <c r="B43" i="7" l="1"/>
  <c r="O41" i="7"/>
  <c r="O42" i="7" l="1"/>
  <c r="B44" i="7"/>
  <c r="B45" i="7" l="1"/>
  <c r="O43" i="7"/>
  <c r="O44" i="7" l="1"/>
  <c r="B46" i="7"/>
  <c r="B47" i="7" l="1"/>
  <c r="O45" i="7"/>
  <c r="O46" i="7" l="1"/>
  <c r="B48" i="7"/>
  <c r="B49" i="7" l="1"/>
  <c r="O47" i="7"/>
  <c r="O48" i="7" l="1"/>
  <c r="B50" i="7"/>
  <c r="B51" i="7" l="1"/>
  <c r="O49" i="7"/>
  <c r="O50" i="7" l="1"/>
  <c r="B52" i="7"/>
  <c r="B53" i="7" l="1"/>
  <c r="O51" i="7"/>
  <c r="O52" i="7" l="1"/>
  <c r="B54" i="7"/>
  <c r="B55" i="7" l="1"/>
  <c r="O53" i="7"/>
  <c r="O54" i="7" l="1"/>
  <c r="B56" i="7"/>
  <c r="B57" i="7" l="1"/>
  <c r="O55" i="7"/>
  <c r="O56" i="7" l="1"/>
  <c r="B58" i="7"/>
  <c r="B59" i="7" l="1"/>
  <c r="O57" i="7"/>
  <c r="O58" i="7" l="1"/>
  <c r="B60" i="7"/>
  <c r="B61" i="7" l="1"/>
  <c r="O59" i="7"/>
  <c r="O60" i="7" l="1"/>
  <c r="B62" i="7"/>
  <c r="B63" i="7" l="1"/>
  <c r="O61" i="7"/>
  <c r="O62" i="7" l="1"/>
  <c r="B64" i="7"/>
  <c r="B65" i="7" l="1"/>
  <c r="O63" i="7"/>
  <c r="O64" i="7" l="1"/>
  <c r="B66" i="7"/>
  <c r="B67" i="7" l="1"/>
  <c r="O65" i="7"/>
  <c r="O66" i="7" l="1"/>
  <c r="B68" i="7"/>
  <c r="B69" i="7" l="1"/>
  <c r="O67" i="7"/>
  <c r="O68" i="7" l="1"/>
  <c r="B70" i="7"/>
  <c r="B71" i="7" l="1"/>
  <c r="O69" i="7"/>
  <c r="O70" i="7" l="1"/>
  <c r="B72" i="7"/>
  <c r="B73" i="7" l="1"/>
  <c r="O71" i="7"/>
  <c r="O72" i="7" l="1"/>
  <c r="B74" i="7"/>
  <c r="B75" i="7" l="1"/>
  <c r="O73" i="7"/>
  <c r="O74" i="7" l="1"/>
  <c r="B76" i="7"/>
  <c r="B77" i="7" l="1"/>
  <c r="O75" i="7"/>
  <c r="O76" i="7" l="1"/>
  <c r="B78" i="7"/>
  <c r="B79" i="7" l="1"/>
  <c r="O77" i="7"/>
  <c r="O78" i="7" l="1"/>
  <c r="B80" i="7"/>
  <c r="B81" i="7" l="1"/>
  <c r="O79" i="7"/>
  <c r="O80" i="7" l="1"/>
  <c r="B82" i="7"/>
  <c r="B83" i="7" l="1"/>
  <c r="O81" i="7"/>
  <c r="O82" i="7" l="1"/>
  <c r="B84" i="7"/>
  <c r="B85" i="7" l="1"/>
  <c r="O83" i="7"/>
  <c r="O84" i="7" l="1"/>
  <c r="B86" i="7"/>
  <c r="B87" i="7" l="1"/>
  <c r="O85" i="7"/>
  <c r="O86" i="7" l="1"/>
  <c r="B88" i="7"/>
  <c r="B89" i="7" l="1"/>
  <c r="O87" i="7"/>
  <c r="O88" i="7" l="1"/>
  <c r="B90" i="7"/>
  <c r="M89" i="7" s="1"/>
  <c r="R89" i="7" l="1"/>
  <c r="P89" i="7"/>
  <c r="B94" i="7"/>
  <c r="I89" i="7"/>
  <c r="J89" i="7"/>
  <c r="Q89" i="7"/>
  <c r="O89" i="7"/>
  <c r="I93" i="7" l="1"/>
  <c r="J93" i="7" s="1"/>
  <c r="O94" i="7"/>
  <c r="O95" i="7" s="1"/>
  <c r="D17" i="7"/>
  <c r="Q93" i="7" l="1"/>
  <c r="D18" i="7"/>
  <c r="E17" i="7"/>
  <c r="F17" i="7" s="1"/>
  <c r="D16" i="7"/>
  <c r="E16" i="7" s="1"/>
  <c r="Q9" i="7"/>
  <c r="D19" i="7" l="1"/>
  <c r="G18" i="7"/>
  <c r="E18" i="7"/>
  <c r="F18" i="7" s="1"/>
  <c r="G16" i="7"/>
  <c r="H16" i="7" s="1"/>
  <c r="N16" i="7" s="1"/>
  <c r="M16" i="7" s="1"/>
  <c r="L16" i="7" s="1"/>
  <c r="F16" i="7"/>
  <c r="G17" i="7"/>
  <c r="H17" i="7" l="1"/>
  <c r="I17" i="7"/>
  <c r="H18" i="7"/>
  <c r="I18" i="7"/>
  <c r="D20" i="7"/>
  <c r="G19" i="7"/>
  <c r="E19" i="7"/>
  <c r="F19" i="7" s="1"/>
  <c r="K17" i="7"/>
  <c r="J17" i="7" l="1"/>
  <c r="H19" i="7"/>
  <c r="I19" i="7"/>
  <c r="N17" i="7"/>
  <c r="Q17" i="7"/>
  <c r="L8" i="7" s="1"/>
  <c r="G20" i="7"/>
  <c r="E20" i="7"/>
  <c r="F20" i="7" s="1"/>
  <c r="D21" i="7"/>
  <c r="J18" i="7" l="1"/>
  <c r="J19" i="7" s="1"/>
  <c r="H20" i="7"/>
  <c r="I20" i="7"/>
  <c r="D22" i="7"/>
  <c r="G21" i="7"/>
  <c r="E21" i="7"/>
  <c r="F21" i="7" s="1"/>
  <c r="H21" i="7" l="1"/>
  <c r="I21" i="7"/>
  <c r="J20" i="7"/>
  <c r="G22" i="7"/>
  <c r="D23" i="7"/>
  <c r="E22" i="7"/>
  <c r="F22" i="7" s="1"/>
  <c r="H22" i="7" l="1"/>
  <c r="I22" i="7"/>
  <c r="J21" i="7"/>
  <c r="D24" i="7"/>
  <c r="G23" i="7"/>
  <c r="E23" i="7"/>
  <c r="F23" i="7" s="1"/>
  <c r="H23" i="7" l="1"/>
  <c r="I23" i="7"/>
  <c r="J22" i="7"/>
  <c r="D25" i="7"/>
  <c r="G24" i="7"/>
  <c r="E24" i="7"/>
  <c r="F24" i="7" s="1"/>
  <c r="H24" i="7" l="1"/>
  <c r="I24" i="7"/>
  <c r="J23" i="7"/>
  <c r="G25" i="7"/>
  <c r="D26" i="7"/>
  <c r="E25" i="7"/>
  <c r="F25" i="7" s="1"/>
  <c r="H25" i="7" l="1"/>
  <c r="I25" i="7"/>
  <c r="J24" i="7"/>
  <c r="E26" i="7"/>
  <c r="F26" i="7" s="1"/>
  <c r="D27" i="7"/>
  <c r="G26" i="7"/>
  <c r="J25" i="7" l="1"/>
  <c r="H26" i="7"/>
  <c r="I26" i="7"/>
  <c r="E27" i="7"/>
  <c r="F27" i="7" s="1"/>
  <c r="D28" i="7"/>
  <c r="G27" i="7"/>
  <c r="H27" i="7" l="1"/>
  <c r="I27" i="7"/>
  <c r="J26" i="7"/>
  <c r="G28" i="7"/>
  <c r="E28" i="7"/>
  <c r="F28" i="7" s="1"/>
  <c r="D29" i="7"/>
  <c r="J27" i="7" l="1"/>
  <c r="H28" i="7"/>
  <c r="I28" i="7"/>
  <c r="E29" i="7"/>
  <c r="F29" i="7" s="1"/>
  <c r="D30" i="7"/>
  <c r="G29" i="7"/>
  <c r="H29" i="7" l="1"/>
  <c r="I29" i="7"/>
  <c r="J28" i="7"/>
  <c r="G30" i="7"/>
  <c r="D31" i="7"/>
  <c r="E30" i="7"/>
  <c r="F30" i="7" s="1"/>
  <c r="J29" i="7" l="1"/>
  <c r="H30" i="7"/>
  <c r="I30" i="7"/>
  <c r="D32" i="7"/>
  <c r="E31" i="7"/>
  <c r="F31" i="7" s="1"/>
  <c r="G31" i="7"/>
  <c r="H31" i="7" l="1"/>
  <c r="I31" i="7"/>
  <c r="J30" i="7"/>
  <c r="D33" i="7"/>
  <c r="E32" i="7"/>
  <c r="F32" i="7" s="1"/>
  <c r="G32" i="7"/>
  <c r="J31" i="7" l="1"/>
  <c r="H32" i="7"/>
  <c r="I32" i="7"/>
  <c r="G33" i="7"/>
  <c r="E33" i="7"/>
  <c r="F33" i="7" s="1"/>
  <c r="D34" i="7"/>
  <c r="J32" i="7" l="1"/>
  <c r="H33" i="7"/>
  <c r="I33" i="7"/>
  <c r="G34" i="7"/>
  <c r="D35" i="7"/>
  <c r="E34" i="7"/>
  <c r="F34" i="7" s="1"/>
  <c r="J33" i="7" l="1"/>
  <c r="H34" i="7"/>
  <c r="I34" i="7"/>
  <c r="G35" i="7"/>
  <c r="E35" i="7"/>
  <c r="F35" i="7" s="1"/>
  <c r="D36" i="7"/>
  <c r="J34" i="7" l="1"/>
  <c r="H35" i="7"/>
  <c r="I35" i="7"/>
  <c r="G36" i="7"/>
  <c r="D37" i="7"/>
  <c r="E36" i="7"/>
  <c r="F36" i="7" s="1"/>
  <c r="J35" i="7" l="1"/>
  <c r="H36" i="7"/>
  <c r="I36" i="7"/>
  <c r="G37" i="7"/>
  <c r="D38" i="7"/>
  <c r="E37" i="7"/>
  <c r="F37" i="7" s="1"/>
  <c r="J36" i="7" l="1"/>
  <c r="H37" i="7"/>
  <c r="I37" i="7"/>
  <c r="E38" i="7"/>
  <c r="F38" i="7" s="1"/>
  <c r="D39" i="7"/>
  <c r="G38" i="7"/>
  <c r="H38" i="7" l="1"/>
  <c r="I38" i="7"/>
  <c r="J37" i="7"/>
  <c r="G39" i="7"/>
  <c r="D40" i="7"/>
  <c r="E39" i="7"/>
  <c r="F39" i="7" s="1"/>
  <c r="J38" i="7" l="1"/>
  <c r="H39" i="7"/>
  <c r="I39" i="7"/>
  <c r="D41" i="7"/>
  <c r="E40" i="7"/>
  <c r="F40" i="7" s="1"/>
  <c r="G40" i="7"/>
  <c r="H40" i="7" l="1"/>
  <c r="I40" i="7"/>
  <c r="J39" i="7"/>
  <c r="G41" i="7"/>
  <c r="D42" i="7"/>
  <c r="E41" i="7"/>
  <c r="F41" i="7" s="1"/>
  <c r="J40" i="7" l="1"/>
  <c r="H41" i="7"/>
  <c r="I41" i="7"/>
  <c r="E42" i="7"/>
  <c r="F42" i="7" s="1"/>
  <c r="G42" i="7"/>
  <c r="D43" i="7"/>
  <c r="H42" i="7" l="1"/>
  <c r="I42" i="7"/>
  <c r="J41" i="7"/>
  <c r="G43" i="7"/>
  <c r="E43" i="7"/>
  <c r="F43" i="7" s="1"/>
  <c r="D44" i="7"/>
  <c r="J42" i="7" l="1"/>
  <c r="H43" i="7"/>
  <c r="I43" i="7"/>
  <c r="E44" i="7"/>
  <c r="F44" i="7" s="1"/>
  <c r="D45" i="7"/>
  <c r="G44" i="7"/>
  <c r="H44" i="7" l="1"/>
  <c r="I44" i="7"/>
  <c r="J43" i="7"/>
  <c r="G45" i="7"/>
  <c r="D46" i="7"/>
  <c r="E45" i="7"/>
  <c r="F45" i="7" s="1"/>
  <c r="J44" i="7" l="1"/>
  <c r="H45" i="7"/>
  <c r="I45" i="7"/>
  <c r="D47" i="7"/>
  <c r="E46" i="7"/>
  <c r="F46" i="7" s="1"/>
  <c r="G46" i="7"/>
  <c r="H46" i="7" l="1"/>
  <c r="I46" i="7"/>
  <c r="J45" i="7"/>
  <c r="E47" i="7"/>
  <c r="F47" i="7" s="1"/>
  <c r="D48" i="7"/>
  <c r="G47" i="7"/>
  <c r="J46" i="7" l="1"/>
  <c r="H47" i="7"/>
  <c r="I47" i="7"/>
  <c r="E48" i="7"/>
  <c r="F48" i="7" s="1"/>
  <c r="G48" i="7"/>
  <c r="D49" i="7"/>
  <c r="H48" i="7" l="1"/>
  <c r="I48" i="7"/>
  <c r="J47" i="7"/>
  <c r="G49" i="7"/>
  <c r="E49" i="7"/>
  <c r="F49" i="7" s="1"/>
  <c r="D50" i="7"/>
  <c r="H49" i="7" l="1"/>
  <c r="I49" i="7"/>
  <c r="J48" i="7"/>
  <c r="G50" i="7"/>
  <c r="D51" i="7"/>
  <c r="D52" i="7" s="1"/>
  <c r="E52" i="7" s="1"/>
  <c r="F52" i="7" s="1"/>
  <c r="E50" i="7"/>
  <c r="F50" i="7" s="1"/>
  <c r="J49" i="7" l="1"/>
  <c r="H50" i="7"/>
  <c r="I50" i="7"/>
  <c r="D53" i="7"/>
  <c r="E53" i="7" s="1"/>
  <c r="F53" i="7" s="1"/>
  <c r="G52" i="7"/>
  <c r="E51" i="7"/>
  <c r="F51" i="7" s="1"/>
  <c r="G51" i="7"/>
  <c r="H51" i="7" l="1"/>
  <c r="I51" i="7"/>
  <c r="H52" i="7"/>
  <c r="I52" i="7"/>
  <c r="J50" i="7"/>
  <c r="G53" i="7"/>
  <c r="D54" i="7"/>
  <c r="D55" i="7" s="1"/>
  <c r="J51" i="7" l="1"/>
  <c r="J52" i="7" s="1"/>
  <c r="H53" i="7"/>
  <c r="I53" i="7"/>
  <c r="G54" i="7"/>
  <c r="E54" i="7"/>
  <c r="F54" i="7" s="1"/>
  <c r="G55" i="7"/>
  <c r="D56" i="7"/>
  <c r="E55" i="7"/>
  <c r="F55" i="7" s="1"/>
  <c r="J53" i="7" l="1"/>
  <c r="H54" i="7"/>
  <c r="I54" i="7"/>
  <c r="H55" i="7"/>
  <c r="I55" i="7"/>
  <c r="E56" i="7"/>
  <c r="F56" i="7" s="1"/>
  <c r="D57" i="7"/>
  <c r="G56" i="7"/>
  <c r="J54" i="7" l="1"/>
  <c r="J55" i="7" s="1"/>
  <c r="H56" i="7"/>
  <c r="I56" i="7"/>
  <c r="G57" i="7"/>
  <c r="D58" i="7"/>
  <c r="E57" i="7"/>
  <c r="F57" i="7" s="1"/>
  <c r="H57" i="7" l="1"/>
  <c r="I57" i="7"/>
  <c r="J56" i="7"/>
  <c r="E58" i="7"/>
  <c r="F58" i="7" s="1"/>
  <c r="D59" i="7"/>
  <c r="G58" i="7"/>
  <c r="H58" i="7" l="1"/>
  <c r="I58" i="7"/>
  <c r="J57" i="7"/>
  <c r="G59" i="7"/>
  <c r="D60" i="7"/>
  <c r="E59" i="7"/>
  <c r="F59" i="7" s="1"/>
  <c r="H59" i="7" l="1"/>
  <c r="I59" i="7"/>
  <c r="J58" i="7"/>
  <c r="E60" i="7"/>
  <c r="F60" i="7" s="1"/>
  <c r="D61" i="7"/>
  <c r="G60" i="7"/>
  <c r="J59" i="7" l="1"/>
  <c r="H60" i="7"/>
  <c r="I60" i="7"/>
  <c r="G61" i="7"/>
  <c r="D62" i="7"/>
  <c r="E61" i="7"/>
  <c r="F61" i="7" s="1"/>
  <c r="J60" i="7" l="1"/>
  <c r="H61" i="7"/>
  <c r="I61" i="7"/>
  <c r="E62" i="7"/>
  <c r="F62" i="7" s="1"/>
  <c r="D63" i="7"/>
  <c r="G62" i="7"/>
  <c r="J61" i="7" l="1"/>
  <c r="H62" i="7"/>
  <c r="I62" i="7"/>
  <c r="G63" i="7"/>
  <c r="D64" i="7"/>
  <c r="E63" i="7"/>
  <c r="F63" i="7" s="1"/>
  <c r="J62" i="7" l="1"/>
  <c r="H63" i="7"/>
  <c r="I63" i="7"/>
  <c r="E64" i="7"/>
  <c r="F64" i="7" s="1"/>
  <c r="D65" i="7"/>
  <c r="G64" i="7"/>
  <c r="H64" i="7" l="1"/>
  <c r="I64" i="7"/>
  <c r="J63" i="7"/>
  <c r="G65" i="7"/>
  <c r="D66" i="7"/>
  <c r="E65" i="7"/>
  <c r="F65" i="7" s="1"/>
  <c r="H65" i="7" l="1"/>
  <c r="I65" i="7"/>
  <c r="J64" i="7"/>
  <c r="E66" i="7"/>
  <c r="F66" i="7" s="1"/>
  <c r="D67" i="7"/>
  <c r="G66" i="7"/>
  <c r="H66" i="7" l="1"/>
  <c r="I66" i="7"/>
  <c r="J65" i="7"/>
  <c r="G67" i="7"/>
  <c r="D68" i="7"/>
  <c r="E67" i="7"/>
  <c r="F67" i="7" s="1"/>
  <c r="H67" i="7" l="1"/>
  <c r="I67" i="7"/>
  <c r="J66" i="7"/>
  <c r="E68" i="7"/>
  <c r="F68" i="7" s="1"/>
  <c r="D69" i="7"/>
  <c r="G68" i="7"/>
  <c r="J67" i="7" l="1"/>
  <c r="H68" i="7"/>
  <c r="I68" i="7"/>
  <c r="G69" i="7"/>
  <c r="D70" i="7"/>
  <c r="E69" i="7"/>
  <c r="F69" i="7" s="1"/>
  <c r="J68" i="7" l="1"/>
  <c r="H69" i="7"/>
  <c r="I69" i="7"/>
  <c r="E70" i="7"/>
  <c r="F70" i="7" s="1"/>
  <c r="D71" i="7"/>
  <c r="G70" i="7"/>
  <c r="H70" i="7" l="1"/>
  <c r="I70" i="7"/>
  <c r="J69" i="7"/>
  <c r="G71" i="7"/>
  <c r="D72" i="7"/>
  <c r="E71" i="7"/>
  <c r="F71" i="7" s="1"/>
  <c r="H71" i="7" l="1"/>
  <c r="I71" i="7"/>
  <c r="J70" i="7"/>
  <c r="E72" i="7"/>
  <c r="F72" i="7" s="1"/>
  <c r="D73" i="7"/>
  <c r="G72" i="7"/>
  <c r="H72" i="7" l="1"/>
  <c r="I72" i="7"/>
  <c r="J71" i="7"/>
  <c r="G73" i="7"/>
  <c r="D74" i="7"/>
  <c r="E73" i="7"/>
  <c r="F73" i="7" s="1"/>
  <c r="H73" i="7" l="1"/>
  <c r="I73" i="7"/>
  <c r="J72" i="7"/>
  <c r="G74" i="7"/>
  <c r="D75" i="7"/>
  <c r="D76" i="7" s="1"/>
  <c r="E74" i="7"/>
  <c r="F74" i="7" s="1"/>
  <c r="H74" i="7" l="1"/>
  <c r="I74" i="7"/>
  <c r="J73" i="7"/>
  <c r="E76" i="7"/>
  <c r="F76" i="7" s="1"/>
  <c r="G76" i="7"/>
  <c r="D77" i="7"/>
  <c r="G75" i="7"/>
  <c r="E75" i="7"/>
  <c r="F75" i="7" s="1"/>
  <c r="H75" i="7" l="1"/>
  <c r="I75" i="7"/>
  <c r="H76" i="7"/>
  <c r="I76" i="7"/>
  <c r="J74" i="7"/>
  <c r="E77" i="7"/>
  <c r="F77" i="7" s="1"/>
  <c r="G77" i="7"/>
  <c r="D78" i="7"/>
  <c r="H77" i="7" l="1"/>
  <c r="I77" i="7"/>
  <c r="J75" i="7"/>
  <c r="J76" i="7" s="1"/>
  <c r="E78" i="7"/>
  <c r="F78" i="7" s="1"/>
  <c r="G78" i="7"/>
  <c r="D79" i="7"/>
  <c r="H78" i="7" l="1"/>
  <c r="I78" i="7"/>
  <c r="J77" i="7"/>
  <c r="E79" i="7"/>
  <c r="F79" i="7" s="1"/>
  <c r="G79" i="7"/>
  <c r="D80" i="7"/>
  <c r="H79" i="7" l="1"/>
  <c r="I79" i="7"/>
  <c r="J78" i="7"/>
  <c r="E80" i="7"/>
  <c r="F80" i="7" s="1"/>
  <c r="G80" i="7"/>
  <c r="D81" i="7"/>
  <c r="H80" i="7" l="1"/>
  <c r="I80" i="7"/>
  <c r="J79" i="7"/>
  <c r="E81" i="7"/>
  <c r="F81" i="7" s="1"/>
  <c r="G81" i="7"/>
  <c r="D82" i="7"/>
  <c r="H81" i="7" l="1"/>
  <c r="I81" i="7"/>
  <c r="J80" i="7"/>
  <c r="E82" i="7"/>
  <c r="F82" i="7" s="1"/>
  <c r="G82" i="7"/>
  <c r="D83" i="7"/>
  <c r="H82" i="7" l="1"/>
  <c r="I82" i="7"/>
  <c r="J81" i="7"/>
  <c r="E83" i="7"/>
  <c r="F83" i="7" s="1"/>
  <c r="G83" i="7"/>
  <c r="D84" i="7"/>
  <c r="J82" i="7" l="1"/>
  <c r="H83" i="7"/>
  <c r="I83" i="7"/>
  <c r="E84" i="7"/>
  <c r="F84" i="7" s="1"/>
  <c r="G84" i="7"/>
  <c r="D85" i="7"/>
  <c r="J83" i="7" l="1"/>
  <c r="H84" i="7"/>
  <c r="I84" i="7"/>
  <c r="G85" i="7"/>
  <c r="E85" i="7"/>
  <c r="F85" i="7" s="1"/>
  <c r="D86" i="7"/>
  <c r="J84" i="7" l="1"/>
  <c r="H85" i="7"/>
  <c r="I85" i="7"/>
  <c r="E86" i="7"/>
  <c r="F86" i="7" s="1"/>
  <c r="G86" i="7"/>
  <c r="D87" i="7"/>
  <c r="D88" i="7" s="1"/>
  <c r="D89" i="7" s="1"/>
  <c r="J85" i="7" l="1"/>
  <c r="H86" i="7"/>
  <c r="I86" i="7"/>
  <c r="E89" i="7"/>
  <c r="F89" i="7" s="1"/>
  <c r="G89" i="7"/>
  <c r="H89" i="7" s="1"/>
  <c r="G88" i="7"/>
  <c r="E88" i="7"/>
  <c r="F88" i="7" s="1"/>
  <c r="G87" i="7"/>
  <c r="E87" i="7"/>
  <c r="F87" i="7" s="1"/>
  <c r="D94" i="7"/>
  <c r="J86" i="7" l="1"/>
  <c r="H87" i="7"/>
  <c r="I87" i="7"/>
  <c r="H88" i="7"/>
  <c r="I88" i="7"/>
  <c r="J87" i="7" l="1"/>
  <c r="J88" i="7" s="1"/>
  <c r="AC30" i="7" s="1"/>
  <c r="AC31" i="7" s="1"/>
  <c r="P17" i="7" l="1"/>
  <c r="R17" i="7" l="1"/>
  <c r="L10" i="7" s="1"/>
  <c r="M17" i="7"/>
  <c r="L17" i="7" s="1"/>
  <c r="K18" i="7" l="1"/>
  <c r="N18" i="7" s="1"/>
  <c r="Q18" i="7" l="1"/>
  <c r="P18" i="7" s="1"/>
  <c r="R18" i="7" l="1"/>
  <c r="M18" i="7"/>
  <c r="K19" i="7" s="1"/>
  <c r="L18" i="7" l="1"/>
  <c r="N19" i="7"/>
  <c r="Q19" i="7"/>
  <c r="P19" i="7" s="1"/>
  <c r="R19" i="7" l="1"/>
  <c r="M19" i="7"/>
  <c r="K20" i="7" s="1"/>
  <c r="L19" i="7" l="1"/>
  <c r="Q20" i="7"/>
  <c r="P20" i="7" s="1"/>
  <c r="N20" i="7"/>
  <c r="R20" i="7" l="1"/>
  <c r="M20" i="7"/>
  <c r="K21" i="7" s="1"/>
  <c r="L20" i="7" l="1"/>
  <c r="Q21" i="7"/>
  <c r="P21" i="7" s="1"/>
  <c r="N21" i="7"/>
  <c r="M21" i="7" l="1"/>
  <c r="R21" i="7"/>
  <c r="L21" i="7" l="1"/>
  <c r="K22" i="7"/>
  <c r="Q22" i="7" l="1"/>
  <c r="P22" i="7" s="1"/>
  <c r="N22" i="7"/>
  <c r="M22" i="7" l="1"/>
  <c r="R22" i="7"/>
  <c r="L22" i="7" l="1"/>
  <c r="K23" i="7"/>
  <c r="Q23" i="7" l="1"/>
  <c r="P23" i="7" s="1"/>
  <c r="N23" i="7"/>
  <c r="R23" i="7" l="1"/>
  <c r="M23" i="7"/>
  <c r="L23" i="7" s="1"/>
  <c r="K24" i="7" l="1"/>
  <c r="Q24" i="7" s="1"/>
  <c r="P24" i="7" s="1"/>
  <c r="N24" i="7" l="1"/>
  <c r="M24" i="7" s="1"/>
  <c r="L24" i="7" s="1"/>
  <c r="R24" i="7"/>
  <c r="K25" i="7" l="1"/>
  <c r="Q25" i="7" s="1"/>
  <c r="P25" i="7" s="1"/>
  <c r="N25" i="7" l="1"/>
  <c r="M25" i="7" s="1"/>
  <c r="L25" i="7" s="1"/>
  <c r="R25" i="7"/>
  <c r="K26" i="7" l="1"/>
  <c r="Q26" i="7" s="1"/>
  <c r="P26" i="7" s="1"/>
  <c r="N26" i="7" l="1"/>
  <c r="M26" i="7" s="1"/>
  <c r="K27" i="7" s="1"/>
  <c r="R26" i="7"/>
  <c r="L26" i="7" l="1"/>
  <c r="Q27" i="7"/>
  <c r="P27" i="7" s="1"/>
  <c r="N27" i="7"/>
  <c r="M27" i="7" l="1"/>
  <c r="R27" i="7"/>
  <c r="L27" i="7" l="1"/>
  <c r="K28" i="7"/>
  <c r="Q28" i="7" l="1"/>
  <c r="P28" i="7" s="1"/>
  <c r="N28" i="7"/>
  <c r="R28" i="7" l="1"/>
  <c r="M28" i="7"/>
  <c r="L28" i="7" s="1"/>
  <c r="K29" i="7" l="1"/>
  <c r="Q29" i="7" s="1"/>
  <c r="P29" i="7" s="1"/>
  <c r="N29" i="7" l="1"/>
  <c r="M29" i="7" s="1"/>
  <c r="R29" i="7"/>
  <c r="L29" i="7" l="1"/>
  <c r="K30" i="7"/>
  <c r="N30" i="7" s="1"/>
  <c r="Q30" i="7" l="1"/>
  <c r="P30" i="7" s="1"/>
  <c r="R30" i="7" s="1"/>
  <c r="M30" i="7" l="1"/>
  <c r="L30" i="7" s="1"/>
  <c r="K31" i="7" l="1"/>
  <c r="Q31" i="7" s="1"/>
  <c r="P31" i="7" s="1"/>
  <c r="R31" i="7" s="1"/>
  <c r="N31" i="7" l="1"/>
  <c r="M31" i="7" s="1"/>
  <c r="L31" i="7" s="1"/>
  <c r="K32" i="7" l="1"/>
  <c r="Q32" i="7" s="1"/>
  <c r="P32" i="7" s="1"/>
  <c r="N32" i="7" l="1"/>
  <c r="M32" i="7" s="1"/>
  <c r="L32" i="7" s="1"/>
  <c r="R32" i="7"/>
  <c r="K33" i="7" l="1"/>
  <c r="Q33" i="7" s="1"/>
  <c r="P33" i="7" s="1"/>
  <c r="N33" i="7" l="1"/>
  <c r="M33" i="7" s="1"/>
  <c r="L33" i="7" s="1"/>
  <c r="R33" i="7"/>
  <c r="K34" i="7" l="1"/>
  <c r="Q34" i="7" s="1"/>
  <c r="P34" i="7" s="1"/>
  <c r="N34" i="7" l="1"/>
  <c r="M34" i="7" s="1"/>
  <c r="L34" i="7" s="1"/>
  <c r="R34" i="7"/>
  <c r="K35" i="7" l="1"/>
  <c r="Q35" i="7" s="1"/>
  <c r="P35" i="7" s="1"/>
  <c r="N35" i="7" l="1"/>
  <c r="M35" i="7" s="1"/>
  <c r="R35" i="7"/>
  <c r="L35" i="7" l="1"/>
  <c r="K36" i="7"/>
  <c r="N36" i="7" l="1"/>
  <c r="Q36" i="7"/>
  <c r="P36" i="7" s="1"/>
  <c r="M36" i="7" l="1"/>
  <c r="R36" i="7"/>
  <c r="L36" i="7" l="1"/>
  <c r="K37" i="7"/>
  <c r="N37" i="7" l="1"/>
  <c r="Q37" i="7"/>
  <c r="P37" i="7" s="1"/>
  <c r="M37" i="7" l="1"/>
  <c r="R37" i="7"/>
  <c r="L37" i="7" l="1"/>
  <c r="K38" i="7"/>
  <c r="Q38" i="7" l="1"/>
  <c r="P38" i="7" s="1"/>
  <c r="N38" i="7"/>
  <c r="R38" i="7" l="1"/>
  <c r="M38" i="7"/>
  <c r="L38" i="7" s="1"/>
  <c r="K39" i="7" l="1"/>
  <c r="N39" i="7" s="1"/>
  <c r="Q39" i="7" l="1"/>
  <c r="P39" i="7" s="1"/>
  <c r="M39" i="7" s="1"/>
  <c r="R39" i="7" l="1"/>
  <c r="L39" i="7"/>
  <c r="K40" i="7"/>
  <c r="Q40" i="7" l="1"/>
  <c r="P40" i="7" s="1"/>
  <c r="N40" i="7"/>
  <c r="R40" i="7" l="1"/>
  <c r="M40" i="7"/>
  <c r="L40" i="7" s="1"/>
  <c r="K41" i="7" l="1"/>
  <c r="Q41" i="7" s="1"/>
  <c r="P41" i="7" s="1"/>
  <c r="R41" i="7" l="1"/>
  <c r="N41" i="7"/>
  <c r="M41" i="7" s="1"/>
  <c r="K42" i="7" l="1"/>
  <c r="Q42" i="7" s="1"/>
  <c r="P42" i="7" s="1"/>
  <c r="L41" i="7"/>
  <c r="N42" i="7" l="1"/>
  <c r="M42" i="7" s="1"/>
  <c r="L42" i="7" s="1"/>
  <c r="R42" i="7"/>
  <c r="K43" i="7" l="1"/>
  <c r="Q43" i="7" s="1"/>
  <c r="P43" i="7" s="1"/>
  <c r="N43" i="7" l="1"/>
  <c r="M43" i="7" s="1"/>
  <c r="K44" i="7" s="1"/>
  <c r="R43" i="7"/>
  <c r="L43" i="7" l="1"/>
  <c r="Q44" i="7"/>
  <c r="P44" i="7" s="1"/>
  <c r="N44" i="7"/>
  <c r="R44" i="7" l="1"/>
  <c r="M44" i="7"/>
  <c r="L44" i="7" s="1"/>
  <c r="K45" i="7" l="1"/>
  <c r="Q45" i="7" s="1"/>
  <c r="P45" i="7" s="1"/>
  <c r="K89" i="7"/>
  <c r="N45" i="7" l="1"/>
  <c r="M45" i="7" s="1"/>
  <c r="K46" i="7" s="1"/>
  <c r="N46" i="7" s="1"/>
  <c r="R45" i="7"/>
  <c r="N89" i="7"/>
  <c r="Q46" i="7" l="1"/>
  <c r="P46" i="7" s="1"/>
  <c r="L45" i="7"/>
  <c r="R46" i="7" l="1"/>
  <c r="M46" i="7"/>
  <c r="L89" i="7"/>
  <c r="G14" i="2"/>
  <c r="H14" i="2" s="1"/>
  <c r="E31" i="2" l="1"/>
  <c r="I11" i="2"/>
  <c r="D31" i="2" s="1"/>
  <c r="L46" i="7"/>
  <c r="K47" i="7"/>
  <c r="Q47" i="7" l="1"/>
  <c r="P47" i="7" s="1"/>
  <c r="N47" i="7"/>
  <c r="E33" i="2"/>
  <c r="E41" i="2" s="1"/>
  <c r="G37" i="2" l="1"/>
  <c r="M47" i="7"/>
  <c r="R47" i="7"/>
  <c r="H39" i="2"/>
  <c r="L47" i="7" l="1"/>
  <c r="K48" i="7"/>
  <c r="U11" i="7" l="1"/>
  <c r="Q48" i="7"/>
  <c r="P48" i="7" s="1"/>
  <c r="N48" i="7"/>
  <c r="M48" i="7" l="1"/>
  <c r="R48" i="7"/>
  <c r="L48" i="7" l="1"/>
  <c r="K49" i="7"/>
  <c r="Q49" i="7" l="1"/>
  <c r="P49" i="7" s="1"/>
  <c r="N49" i="7"/>
  <c r="M49" i="7" l="1"/>
  <c r="R49" i="7"/>
  <c r="L49" i="7" l="1"/>
  <c r="K50" i="7"/>
  <c r="Q50" i="7" l="1"/>
  <c r="P50" i="7" s="1"/>
  <c r="N50" i="7"/>
  <c r="M50" i="7" l="1"/>
  <c r="R50" i="7"/>
  <c r="K51" i="7" l="1"/>
  <c r="L50" i="7"/>
  <c r="N51" i="7" l="1"/>
  <c r="Q51" i="7"/>
  <c r="P51" i="7" s="1"/>
  <c r="M51" i="7" l="1"/>
  <c r="R51" i="7"/>
  <c r="L51" i="7" l="1"/>
  <c r="K52" i="7"/>
  <c r="N52" i="7" l="1"/>
  <c r="Q52" i="7"/>
  <c r="P52" i="7" s="1"/>
  <c r="M52" i="7" l="1"/>
  <c r="R52" i="7"/>
  <c r="L52" i="7" l="1"/>
  <c r="K53" i="7"/>
  <c r="Q53" i="7" l="1"/>
  <c r="P53" i="7" s="1"/>
  <c r="N53" i="7"/>
  <c r="M53" i="7" l="1"/>
  <c r="R53" i="7"/>
  <c r="K54" i="7" l="1"/>
  <c r="L53" i="7"/>
  <c r="N54" i="7" l="1"/>
  <c r="Q54" i="7"/>
  <c r="P54" i="7" s="1"/>
  <c r="M54" i="7" l="1"/>
  <c r="R54" i="7"/>
  <c r="L54" i="7" l="1"/>
  <c r="K55" i="7"/>
  <c r="N55" i="7" l="1"/>
  <c r="Q55" i="7"/>
  <c r="P55" i="7" s="1"/>
  <c r="M55" i="7" l="1"/>
  <c r="R55" i="7"/>
  <c r="K56" i="7" l="1"/>
  <c r="L55" i="7"/>
  <c r="N56" i="7" l="1"/>
  <c r="Q56" i="7"/>
  <c r="P56" i="7" s="1"/>
  <c r="M56" i="7" l="1"/>
  <c r="R56" i="7"/>
  <c r="L56" i="7" l="1"/>
  <c r="K57" i="7"/>
  <c r="Q57" i="7" l="1"/>
  <c r="P57" i="7" s="1"/>
  <c r="N57" i="7"/>
  <c r="M57" i="7" l="1"/>
  <c r="R57" i="7"/>
  <c r="K58" i="7" l="1"/>
  <c r="L57" i="7"/>
  <c r="Q58" i="7" l="1"/>
  <c r="P58" i="7" s="1"/>
  <c r="N58" i="7"/>
  <c r="M58" i="7" l="1"/>
  <c r="R58" i="7"/>
  <c r="L58" i="7" l="1"/>
  <c r="K59" i="7"/>
  <c r="N59" i="7" l="1"/>
  <c r="Q59" i="7"/>
  <c r="P59" i="7" s="1"/>
  <c r="M59" i="7" l="1"/>
  <c r="R59" i="7"/>
  <c r="K60" i="7" l="1"/>
  <c r="L59" i="7"/>
  <c r="N60" i="7" l="1"/>
  <c r="Q60" i="7"/>
  <c r="P60" i="7" s="1"/>
  <c r="M60" i="7" l="1"/>
  <c r="R60" i="7"/>
  <c r="L60" i="7" l="1"/>
  <c r="K61" i="7"/>
  <c r="Q61" i="7" l="1"/>
  <c r="P61" i="7" s="1"/>
  <c r="N61" i="7"/>
  <c r="M61" i="7" l="1"/>
  <c r="R61" i="7"/>
  <c r="K62" i="7" l="1"/>
  <c r="L61" i="7"/>
  <c r="Q62" i="7" l="1"/>
  <c r="P62" i="7" s="1"/>
  <c r="N62" i="7"/>
  <c r="M62" i="7" l="1"/>
  <c r="R62" i="7"/>
  <c r="L62" i="7" l="1"/>
  <c r="K63" i="7"/>
  <c r="N63" i="7" l="1"/>
  <c r="Q63" i="7"/>
  <c r="P63" i="7" s="1"/>
  <c r="M63" i="7" l="1"/>
  <c r="R63" i="7"/>
  <c r="K64" i="7" l="1"/>
  <c r="L63" i="7"/>
  <c r="Q64" i="7" l="1"/>
  <c r="P64" i="7" s="1"/>
  <c r="N64" i="7"/>
  <c r="M64" i="7" l="1"/>
  <c r="R64" i="7"/>
  <c r="L64" i="7" l="1"/>
  <c r="K65" i="7"/>
  <c r="Q65" i="7" l="1"/>
  <c r="P65" i="7" s="1"/>
  <c r="N65" i="7"/>
  <c r="M65" i="7" l="1"/>
  <c r="R65" i="7"/>
  <c r="L65" i="7" l="1"/>
  <c r="K66" i="7"/>
  <c r="Q66" i="7" l="1"/>
  <c r="P66" i="7" s="1"/>
  <c r="N66" i="7"/>
  <c r="M66" i="7" l="1"/>
  <c r="R66" i="7"/>
  <c r="K67" i="7" l="1"/>
  <c r="L66" i="7"/>
  <c r="Q67" i="7" l="1"/>
  <c r="P67" i="7" s="1"/>
  <c r="N67" i="7"/>
  <c r="M67" i="7" l="1"/>
  <c r="R67" i="7"/>
  <c r="L67" i="7" l="1"/>
  <c r="K68" i="7"/>
  <c r="N68" i="7" l="1"/>
  <c r="Q68" i="7"/>
  <c r="P68" i="7" s="1"/>
  <c r="M68" i="7" l="1"/>
  <c r="R68" i="7"/>
  <c r="L68" i="7" l="1"/>
  <c r="K69" i="7"/>
  <c r="N69" i="7" l="1"/>
  <c r="Q69" i="7"/>
  <c r="P69" i="7" s="1"/>
  <c r="M69" i="7" l="1"/>
  <c r="R69" i="7"/>
  <c r="L69" i="7" l="1"/>
  <c r="K70" i="7"/>
  <c r="Q70" i="7" l="1"/>
  <c r="P70" i="7" s="1"/>
  <c r="N70" i="7"/>
  <c r="M70" i="7" l="1"/>
  <c r="R70" i="7"/>
  <c r="L70" i="7" l="1"/>
  <c r="K71" i="7"/>
  <c r="Q71" i="7" l="1"/>
  <c r="P71" i="7" s="1"/>
  <c r="N71" i="7"/>
  <c r="M71" i="7" l="1"/>
  <c r="R71" i="7"/>
  <c r="K72" i="7" l="1"/>
  <c r="L71" i="7"/>
  <c r="N72" i="7" l="1"/>
  <c r="Q72" i="7"/>
  <c r="P72" i="7" s="1"/>
  <c r="M72" i="7" l="1"/>
  <c r="R72" i="7"/>
  <c r="K73" i="7" l="1"/>
  <c r="L72" i="7"/>
  <c r="Q73" i="7" l="1"/>
  <c r="P73" i="7" s="1"/>
  <c r="N73" i="7"/>
  <c r="M73" i="7" l="1"/>
  <c r="R73" i="7"/>
  <c r="L73" i="7" l="1"/>
  <c r="K74" i="7"/>
  <c r="Q74" i="7" l="1"/>
  <c r="P74" i="7" s="1"/>
  <c r="N74" i="7"/>
  <c r="M74" i="7" l="1"/>
  <c r="R74" i="7"/>
  <c r="K75" i="7" l="1"/>
  <c r="L74" i="7"/>
  <c r="Q75" i="7" l="1"/>
  <c r="P75" i="7" s="1"/>
  <c r="N75" i="7"/>
  <c r="M75" i="7" l="1"/>
  <c r="R75" i="7"/>
  <c r="K76" i="7" l="1"/>
  <c r="L75" i="7"/>
  <c r="N76" i="7" l="1"/>
  <c r="Q76" i="7"/>
  <c r="P76" i="7" s="1"/>
  <c r="M76" i="7" l="1"/>
  <c r="R76" i="7"/>
  <c r="L76" i="7" l="1"/>
  <c r="K77" i="7"/>
  <c r="N77" i="7" l="1"/>
  <c r="Q77" i="7"/>
  <c r="P77" i="7" s="1"/>
  <c r="M77" i="7" l="1"/>
  <c r="R77" i="7"/>
  <c r="K78" i="7" l="1"/>
  <c r="L77" i="7"/>
  <c r="N78" i="7" l="1"/>
  <c r="Q78" i="7"/>
  <c r="P78" i="7" s="1"/>
  <c r="M78" i="7" l="1"/>
  <c r="R78" i="7"/>
  <c r="L78" i="7" l="1"/>
  <c r="K79" i="7"/>
  <c r="N79" i="7" l="1"/>
  <c r="Q79" i="7"/>
  <c r="P79" i="7" s="1"/>
  <c r="M79" i="7" l="1"/>
  <c r="R79" i="7"/>
  <c r="L79" i="7" l="1"/>
  <c r="K80" i="7"/>
  <c r="N80" i="7" l="1"/>
  <c r="Q80" i="7"/>
  <c r="P80" i="7" s="1"/>
  <c r="M80" i="7" l="1"/>
  <c r="R80" i="7"/>
  <c r="L80" i="7" l="1"/>
  <c r="K81" i="7"/>
  <c r="Q81" i="7" l="1"/>
  <c r="P81" i="7" s="1"/>
  <c r="N81" i="7"/>
  <c r="M81" i="7" l="1"/>
  <c r="R81" i="7"/>
  <c r="L81" i="7" l="1"/>
  <c r="K82" i="7"/>
  <c r="Q82" i="7" l="1"/>
  <c r="P82" i="7" s="1"/>
  <c r="N82" i="7"/>
  <c r="M82" i="7" l="1"/>
  <c r="R82" i="7"/>
  <c r="K83" i="7" l="1"/>
  <c r="L82" i="7"/>
  <c r="Q83" i="7" l="1"/>
  <c r="P83" i="7" s="1"/>
  <c r="N83" i="7"/>
  <c r="M83" i="7" l="1"/>
  <c r="R83" i="7"/>
  <c r="K84" i="7" l="1"/>
  <c r="L83" i="7"/>
  <c r="N84" i="7" l="1"/>
  <c r="Q84" i="7"/>
  <c r="P84" i="7" s="1"/>
  <c r="M84" i="7" l="1"/>
  <c r="R84" i="7"/>
  <c r="L84" i="7" l="1"/>
  <c r="K85" i="7"/>
  <c r="N85" i="7" l="1"/>
  <c r="Q85" i="7"/>
  <c r="P85" i="7" s="1"/>
  <c r="M85" i="7" l="1"/>
  <c r="R85" i="7"/>
  <c r="L85" i="7" l="1"/>
  <c r="K86" i="7"/>
  <c r="Q86" i="7" l="1"/>
  <c r="P86" i="7" s="1"/>
  <c r="N86" i="7"/>
  <c r="M86" i="7" l="1"/>
  <c r="R86" i="7"/>
  <c r="K87" i="7" l="1"/>
  <c r="L86" i="7"/>
  <c r="N87" i="7" l="1"/>
  <c r="Q87" i="7"/>
  <c r="P87" i="7" s="1"/>
  <c r="M87" i="7" l="1"/>
  <c r="R87" i="7"/>
  <c r="K88" i="7" l="1"/>
  <c r="L87" i="7"/>
  <c r="N88" i="7" l="1"/>
  <c r="N94" i="7" s="1"/>
  <c r="N95" i="7" s="1"/>
  <c r="Q88" i="7"/>
  <c r="Q94" i="7" l="1"/>
  <c r="Q95" i="7" s="1"/>
  <c r="P88" i="7"/>
  <c r="M88" i="7" s="1"/>
  <c r="R88" i="7" l="1"/>
  <c r="R94" i="7" s="1"/>
  <c r="R95" i="7" s="1"/>
  <c r="P95" i="7"/>
  <c r="M95" i="7" l="1"/>
  <c r="L88" i="7"/>
  <c r="L94" i="7" s="1"/>
</calcChain>
</file>

<file path=xl/comments1.xml><?xml version="1.0" encoding="utf-8"?>
<comments xmlns="http://schemas.openxmlformats.org/spreadsheetml/2006/main">
  <authors>
    <author/>
  </authors>
  <commentList>
    <comment ref="AC23" authorId="0" shapeId="0">
      <text>
        <r>
          <rPr>
            <sz val="11"/>
            <color theme="1"/>
            <rFont val="Calibri"/>
            <family val="2"/>
            <scheme val="minor"/>
          </rPr>
          <t>======
ID#AAAAY0TZtVc
c20906    (2022-05-11 14:14:12)
Fecha de pago anterior</t>
        </r>
      </text>
    </comment>
  </commentList>
  <extLst>
    <ext xmlns:r="http://schemas.openxmlformats.org/officeDocument/2006/relationships" uri="GoogleSheetsCustomDataVersion1">
      <go:sheetsCustomData xmlns:go="http://customooxmlschemas.google.com/" roundtripDataSignature="AMtx7mgjwO3kJQ7mSHGF8Z5Ir1WJPYleJA==" r:id="rId1"/>
    </ext>
  </extLst>
</comments>
</file>

<file path=xl/sharedStrings.xml><?xml version="1.0" encoding="utf-8"?>
<sst xmlns="http://schemas.openxmlformats.org/spreadsheetml/2006/main" count="1577" uniqueCount="635">
  <si>
    <t>:</t>
  </si>
  <si>
    <t>Número cuotas</t>
  </si>
  <si>
    <t>Fecha de operación</t>
  </si>
  <si>
    <t>Fecha antes de operación</t>
  </si>
  <si>
    <t>Cada 'n' meses</t>
  </si>
  <si>
    <t>T.días</t>
  </si>
  <si>
    <t>Factor. Diario</t>
  </si>
  <si>
    <t>Tasa efectiva interés anual (TEA)</t>
  </si>
  <si>
    <t>Valor Cuota Constante</t>
  </si>
  <si>
    <t>Total Factor</t>
  </si>
  <si>
    <t>Factor Intereses</t>
  </si>
  <si>
    <t>T.dias cuota</t>
  </si>
  <si>
    <t>Saldo Ant.</t>
  </si>
  <si>
    <t>Comisión Mantenimiento</t>
  </si>
  <si>
    <t>TCEA</t>
  </si>
  <si>
    <t>Interes</t>
  </si>
  <si>
    <t>Amortización</t>
  </si>
  <si>
    <t>Saldo</t>
  </si>
  <si>
    <t>Fecha de Vencimiento</t>
  </si>
  <si>
    <t>Nro. Cuota</t>
  </si>
  <si>
    <t>Total Cuota</t>
  </si>
  <si>
    <t>Total a Pagar</t>
  </si>
  <si>
    <t>Ingreso Neto</t>
  </si>
  <si>
    <t>Ingreso Fijo</t>
  </si>
  <si>
    <t>FECHA DE CORTE</t>
  </si>
  <si>
    <t>SEGURO DESGRAVAMEN</t>
  </si>
  <si>
    <t>CUOTA MAXIMA</t>
  </si>
  <si>
    <t>Tasa DIARIA (TED)</t>
  </si>
  <si>
    <t>DIA DE VENCIMIENTO</t>
  </si>
  <si>
    <t>PRIMER VENCIMIENTO</t>
  </si>
  <si>
    <t>Principal Solicitado</t>
  </si>
  <si>
    <t>Tasa Efectiva Anual</t>
  </si>
  <si>
    <t>TCEA Referencial</t>
  </si>
  <si>
    <t>Comis. Envío infor. Periódica</t>
  </si>
  <si>
    <t>Pago de Casillero</t>
  </si>
  <si>
    <t>Duración Total</t>
  </si>
  <si>
    <t>Fecha de Solicitud</t>
  </si>
  <si>
    <t>Importe Seguro Desgrav.</t>
  </si>
  <si>
    <t>Seguro:</t>
  </si>
  <si>
    <t>Insoluto Individual</t>
  </si>
  <si>
    <t>.</t>
  </si>
  <si>
    <t>- EL MONTO DE AMORTIZACION CON ESTE VALOR SE ORIGINA POR LA APLICACIÓN DEL CALCULO PARA LA OBTENCION DE CUOTA CONSTANTE. NO AFECTA EL COSTO EFECTIVO ANUAL DEL CREDITO</t>
  </si>
  <si>
    <t>- EL PRESENTE ES UN CRONOGRAMA PRELIMINAR. EL CRONOGRAMA DEFINITIVO SERA ENTREGADO EN UN PLAZO MAXIMO DE 30 DIAS DE ACUERDO A LA MODALIDAD ELEGIDA POR EL CLIENTE EN LA SOLICITUD DEL PRESTAMO, Y FORMARA PARTE DEL CONTRATO. DICHO CRONOGRAMA DEBERA SER FIRMADO POR LAS PARTES, SALVO QUE LA MODALIDAD ELEGIDA DE ENTREGA NO LO EXIJA</t>
  </si>
  <si>
    <t xml:space="preserve">- USTED TIENE DERECHO A ELEGIR SU PROPIO SEGURO EN EL MOMENTO DE LA CONTRATACION </t>
  </si>
  <si>
    <t>- LAS OPERACIONES REALIZADAS EN LA CUENTA SE ENCUENTRAN AFECTAS AL PAGO DEL IMPUESTO POR TRANSACCIONES FINANCIERAS (ITF): 0.005%</t>
  </si>
  <si>
    <t>Comisiones o gastos</t>
  </si>
  <si>
    <t>Seguro desgrav.</t>
  </si>
  <si>
    <t xml:space="preserve">Factor Cuota </t>
  </si>
  <si>
    <t>Convenio</t>
  </si>
  <si>
    <t>NombreCorto</t>
  </si>
  <si>
    <t>CodCampaña</t>
  </si>
  <si>
    <t>Sector</t>
  </si>
  <si>
    <t>Región</t>
  </si>
  <si>
    <t>Oficina</t>
  </si>
  <si>
    <t xml:space="preserve">Fin de vigencia </t>
  </si>
  <si>
    <t>Tasa</t>
  </si>
  <si>
    <t>Ultima Linea Asignada</t>
  </si>
  <si>
    <t>Situación del convenio</t>
  </si>
  <si>
    <t>Beneficiarios</t>
  </si>
  <si>
    <t xml:space="preserve">C/Y </t>
  </si>
  <si>
    <t>Plazo (meses)</t>
  </si>
  <si>
    <t>Observaciones</t>
  </si>
  <si>
    <t>OBS2</t>
  </si>
  <si>
    <t>OBS3</t>
  </si>
  <si>
    <t>Evaluación Institución</t>
  </si>
  <si>
    <t>Personas autorizadas a firmar</t>
  </si>
  <si>
    <t>Fecha última modificación</t>
  </si>
  <si>
    <t>Calificación</t>
  </si>
  <si>
    <t>MARINA DE GUERRA DEL PERU</t>
  </si>
  <si>
    <t>MG04 / MG05</t>
  </si>
  <si>
    <t>FFAA</t>
  </si>
  <si>
    <t>NACIONAL</t>
  </si>
  <si>
    <t>Bazar Naval</t>
  </si>
  <si>
    <t>14% s/ PH - 13.5% c/PH</t>
  </si>
  <si>
    <t>VIGENTE</t>
  </si>
  <si>
    <t>Contratados a plazo indeterminado</t>
  </si>
  <si>
    <t>60 meses</t>
  </si>
  <si>
    <t>72 meses</t>
  </si>
  <si>
    <t>CONTRATADO INDETERMINADO &gt; 6 MESES. SE UTILIZA EL VALOR MENOR ENTRE NUESTRO RESULTADO Y LA CUOTA APROBADA POR MGP.  PARA JERARQUIAS DE CAPITAN DE FRAGATA HASTA ALMIRANTE, TRATAMIENTO PEP</t>
  </si>
  <si>
    <t>SI</t>
  </si>
  <si>
    <t>100% NORMAL (G5)</t>
  </si>
  <si>
    <t>PODER JUDICIAL</t>
  </si>
  <si>
    <t>14%</t>
  </si>
  <si>
    <t>NO MAGISTRADOS SUPLENTES</t>
  </si>
  <si>
    <t>ANTIGÜEDAD MIN 12 MESES DEL PRESTAMO A COMPRAR</t>
  </si>
  <si>
    <t>SARALIZ SARAVIA</t>
  </si>
  <si>
    <t>Fec. Apertura</t>
  </si>
  <si>
    <t>Fecha de Corte</t>
  </si>
  <si>
    <t>Vencimiento</t>
  </si>
  <si>
    <t>Periodo de Gracia</t>
  </si>
  <si>
    <t>Datos del Préstamo</t>
  </si>
  <si>
    <t>Plazo</t>
  </si>
  <si>
    <t>Fec. Desembolso</t>
  </si>
  <si>
    <t>1er Vencimiento</t>
  </si>
  <si>
    <t>Fecha de Desembolso</t>
  </si>
  <si>
    <t>- NO SE INCLUYEN LOS GASTOS DIRECTAMENTE PAGADOS POR EL CLIENTE</t>
  </si>
  <si>
    <t>_____________________</t>
  </si>
  <si>
    <t xml:space="preserve">      FIRMA DEL CLIENTE</t>
  </si>
  <si>
    <t>PERIODO GRACIA</t>
  </si>
  <si>
    <t>Final</t>
  </si>
  <si>
    <t>UNIVERSIDAD</t>
  </si>
  <si>
    <t>PIURA</t>
  </si>
  <si>
    <t>Antigüedad mayor a 12 meses</t>
  </si>
  <si>
    <t>RAGIO</t>
  </si>
  <si>
    <t>UNIVERSIDAD ANDINA DE CUSCO</t>
  </si>
  <si>
    <t>U. ANDINA CUSCO</t>
  </si>
  <si>
    <t>CUSCO</t>
  </si>
  <si>
    <t>17% s/ PH - 15.75% c/PH</t>
  </si>
  <si>
    <t>LARAPA - CUSCO</t>
  </si>
  <si>
    <t>NEXCOM</t>
  </si>
  <si>
    <t>LIMA</t>
  </si>
  <si>
    <t>A110 / A111</t>
  </si>
  <si>
    <t>PJ01 / PJ02</t>
  </si>
  <si>
    <t>Mega Express Villa el Salvador</t>
  </si>
  <si>
    <t>15.5% s/ PH - 15% c/ PH</t>
  </si>
  <si>
    <t>ANTIGÜEDAD MINIMA 6 MESES</t>
  </si>
  <si>
    <t>Maribel Castillo</t>
  </si>
  <si>
    <t>NORMAL</t>
  </si>
  <si>
    <t>Jorge Basadre</t>
  </si>
  <si>
    <t>EJERCITO DEL PERU</t>
  </si>
  <si>
    <t>PRIVADA</t>
  </si>
  <si>
    <t>SEDAPAL</t>
  </si>
  <si>
    <t>SEDAPAL LIMA</t>
  </si>
  <si>
    <t>PUBLICA</t>
  </si>
  <si>
    <t>NO</t>
  </si>
  <si>
    <t>Cuartel General del Ejército</t>
  </si>
  <si>
    <t>Santa Anita - Sedapal</t>
  </si>
  <si>
    <t>Lima</t>
  </si>
  <si>
    <t>Base</t>
  </si>
  <si>
    <t>COOPERATIVA SANTO DOMINGO DE BAGAZAN</t>
  </si>
  <si>
    <t>COOP BAGAZAN</t>
  </si>
  <si>
    <t>MOYOBAMBA</t>
  </si>
  <si>
    <t>TARAPOTO</t>
  </si>
  <si>
    <t>15.8% s/ PH - 15.2% c/ PH</t>
  </si>
  <si>
    <t>ISA - REP</t>
  </si>
  <si>
    <t>13% s/ PH - 12.5% c/ PH</t>
  </si>
  <si>
    <t>Ingreso Variable</t>
  </si>
  <si>
    <t>Tasa PH</t>
  </si>
  <si>
    <t>Tasa SIN PH</t>
  </si>
  <si>
    <t>HOSPITAL REGIONAL DOCENTE LAS MERCEDES</t>
  </si>
  <si>
    <t>REGIONAL</t>
  </si>
  <si>
    <t>Metro Santa Elena</t>
  </si>
  <si>
    <t>13.75% s/ PH - 13.5% c/PH</t>
  </si>
  <si>
    <t>nombrados</t>
  </si>
  <si>
    <t>Jaime Nuñez o Isabel Bravo</t>
  </si>
  <si>
    <t>GDIA H.</t>
  </si>
  <si>
    <t>No Hay</t>
  </si>
  <si>
    <t>Horas Extras, Boni.Reg Turn FI, Bon DI25981</t>
  </si>
  <si>
    <t>Horas Extras</t>
  </si>
  <si>
    <t>Bonos</t>
  </si>
  <si>
    <t>CAFAE SENASA</t>
  </si>
  <si>
    <t>SENASA</t>
  </si>
  <si>
    <t>AGRARIA</t>
  </si>
  <si>
    <t>RED SALUD PUNO</t>
  </si>
  <si>
    <t>SALUD</t>
  </si>
  <si>
    <t>PUNO</t>
  </si>
  <si>
    <t>Guardias</t>
  </si>
  <si>
    <t>UNIVERSIDAD NESTOR CACERES</t>
  </si>
  <si>
    <t>U. N. CACERES</t>
  </si>
  <si>
    <t>JULIACA</t>
  </si>
  <si>
    <t>EJ01 / EJ02</t>
  </si>
  <si>
    <t>BR01 / BR02</t>
  </si>
  <si>
    <t>RE01 / RE02</t>
  </si>
  <si>
    <t>UNIVERSIDAD NACIONAL DE TRUJILLO</t>
  </si>
  <si>
    <t>TRUJILLO</t>
  </si>
  <si>
    <t>PRIMAVERA - TRUJILLO</t>
  </si>
  <si>
    <t>14% s/ PH - 13.50%% c/PH</t>
  </si>
  <si>
    <t>Ingresamos a Cafae</t>
  </si>
  <si>
    <t>HOSPITAL HIPOLITO UNANUE</t>
  </si>
  <si>
    <t>NO INGRESAMOS A CAFAE</t>
  </si>
  <si>
    <t>13% s/ PH - 12.75% c/PH</t>
  </si>
  <si>
    <t>UTES N°06</t>
  </si>
  <si>
    <t>MALL PLAZA</t>
  </si>
  <si>
    <t>13.5% s/ PH - 13.% c/PH</t>
  </si>
  <si>
    <t>Cuotas</t>
  </si>
  <si>
    <t>CAJA SULLANA</t>
  </si>
  <si>
    <t>CMAC SULLANA</t>
  </si>
  <si>
    <t>S901 / S902</t>
  </si>
  <si>
    <t>SULLANA</t>
  </si>
  <si>
    <t>RSP1 / RSP2</t>
  </si>
  <si>
    <t>13.25% s/PH - 12.25% c/PH</t>
  </si>
  <si>
    <t>No se consideran:  Guardias, Horas extras, Gratificaciones, Bono asistencial</t>
  </si>
  <si>
    <t>UNIVERSIDAD NACIONAL HERMILIO VALDIZAN HUANUCO</t>
  </si>
  <si>
    <t>UNHERVL</t>
  </si>
  <si>
    <t>HUANUCO</t>
  </si>
  <si>
    <t>12.50% s/ PH - 12.25% c/PH</t>
  </si>
  <si>
    <t>13.5% O 12.25%</t>
  </si>
  <si>
    <t>13.8% O 12.50%</t>
  </si>
  <si>
    <t>RED DE SALUD HUANUCO</t>
  </si>
  <si>
    <t>HOSPITAL</t>
  </si>
  <si>
    <t>13.5% s/ PH - 13.75% c/PH</t>
  </si>
  <si>
    <t>72 MESES</t>
  </si>
  <si>
    <t>ELECTRO ORIENTE</t>
  </si>
  <si>
    <t>RED DE SALUD SUR CUSCO</t>
  </si>
  <si>
    <t>TEA: 15.5% sin PH y con PH 15.%</t>
  </si>
  <si>
    <t>IQUITOS</t>
  </si>
  <si>
    <t>12.5% s/ PH - 12.8% c/PH</t>
  </si>
  <si>
    <t>UNIVERSIDAD DEL CENTRO</t>
  </si>
  <si>
    <t>UNIV CENTRO</t>
  </si>
  <si>
    <t>13% s/ PH - 13.3% c/PH</t>
  </si>
  <si>
    <t>DIRECCIÓN DE SALUD PUNO</t>
  </si>
  <si>
    <t>12.5% s/ PH - 12.75% c/PH</t>
  </si>
  <si>
    <t>Ing. Para Endeudamiento</t>
  </si>
  <si>
    <t>Facultativos</t>
  </si>
  <si>
    <t>Cuota Máxima de Endeudamiento</t>
  </si>
  <si>
    <t>CLIENTE</t>
  </si>
  <si>
    <t>DNI</t>
  </si>
  <si>
    <t>UNIVERSIDAD SAN LUIS GONZAGA DE ICA</t>
  </si>
  <si>
    <t>USL1 / USL2</t>
  </si>
  <si>
    <t>ICA</t>
  </si>
  <si>
    <t>12% s/ PH - 12.5% c/PH</t>
  </si>
  <si>
    <t>FINANCIERA CONFIANZA</t>
  </si>
  <si>
    <t>FINANCIERA</t>
  </si>
  <si>
    <t>L</t>
  </si>
  <si>
    <t>Comisión</t>
  </si>
  <si>
    <t>CONFIANZA NUEVO</t>
  </si>
  <si>
    <t>CONFIANZA SUBROGADO</t>
  </si>
  <si>
    <t>EDITORA PERÚ</t>
  </si>
  <si>
    <t>ELECTRO SUR</t>
  </si>
  <si>
    <t>RANGO</t>
  </si>
  <si>
    <t>rango</t>
  </si>
  <si>
    <t xml:space="preserve">Intangible </t>
  </si>
  <si>
    <t>Final 2</t>
  </si>
  <si>
    <t>Fecha 1</t>
  </si>
  <si>
    <t>(Cafae, Incentivo, etc)</t>
  </si>
  <si>
    <t>* Ingreso Bruto</t>
  </si>
  <si>
    <t>* Ingreso Neto</t>
  </si>
  <si>
    <t>* Ingreso Variables del Mes</t>
  </si>
  <si>
    <t>* Ingreso Mensual no Constante</t>
  </si>
  <si>
    <t>* Descuento de Ley</t>
  </si>
  <si>
    <t>* Cuota BBVA</t>
  </si>
  <si>
    <t>* Cuota Subrogación</t>
  </si>
  <si>
    <t>* I. Promedio de Variables Consecutivo</t>
  </si>
  <si>
    <t>CAJA AREQUIPA</t>
  </si>
  <si>
    <t>AREQUIPA</t>
  </si>
  <si>
    <t xml:space="preserve">12% s/PH </t>
  </si>
  <si>
    <t>Variables</t>
  </si>
  <si>
    <t>si</t>
  </si>
  <si>
    <t>MUNICIPALIDAD DE LIMA</t>
  </si>
  <si>
    <t>MUNI LIMA</t>
  </si>
  <si>
    <t>13.25% s/ PH - 13% c/PH</t>
  </si>
  <si>
    <t>UNIVERSIDAD NACIONAL DE PIURA</t>
  </si>
  <si>
    <t>U. NAC. PIURA</t>
  </si>
  <si>
    <t>13.8% s/ PH - 14% c/PH</t>
  </si>
  <si>
    <t>19.5% s/ PH - 20% c/PH</t>
  </si>
  <si>
    <t>ESSALUD</t>
  </si>
  <si>
    <t>CE01/CE02</t>
  </si>
  <si>
    <t>12% s/ PH - 11.75% c/ PH</t>
  </si>
  <si>
    <t>COLEGIO NEWTON</t>
  </si>
  <si>
    <t>UG54 / UG55</t>
  </si>
  <si>
    <t>15.5% s/ PH - 16% c/ PH</t>
  </si>
  <si>
    <t>Plazo indeterminado</t>
  </si>
  <si>
    <t>62 MESES</t>
  </si>
  <si>
    <t>CMAC ICA</t>
  </si>
  <si>
    <t>12.7% S/ PH - 12.5% C/PH</t>
  </si>
  <si>
    <t>CMN3/CMS3</t>
  </si>
  <si>
    <t>HOSPITAL REGIONAL DE LAMBAYEQUE</t>
  </si>
  <si>
    <t>HLS1/HLS2</t>
  </si>
  <si>
    <t>14.0% S/ PH - 13.5% C/PH</t>
  </si>
  <si>
    <t>LAMBAYEQUE</t>
  </si>
  <si>
    <t>HOSPITAL HONORIO DELGADO</t>
  </si>
  <si>
    <t>CAJA TRUJILLO</t>
  </si>
  <si>
    <t xml:space="preserve">XX% s/PH </t>
  </si>
  <si>
    <t>XXX</t>
  </si>
  <si>
    <t>XX</t>
  </si>
  <si>
    <t>RED DE SALUD PACIFICO SUR</t>
  </si>
  <si>
    <t>Z</t>
  </si>
  <si>
    <t>POLICLÍNICO ESPIRITU SANTO</t>
  </si>
  <si>
    <t>POLIC. ESPIRITU SANTO</t>
  </si>
  <si>
    <t>UTES HOSP REGIONAL ELEZAR BARRON</t>
  </si>
  <si>
    <t>UNIVERSIDAD CATÓLICA SAN PABLO DE AREQUIPA</t>
  </si>
  <si>
    <t>UNIV. SAN PABLO</t>
  </si>
  <si>
    <t>UNIVERSIDAD NACIONAL DEL SANTA</t>
  </si>
  <si>
    <t>UNIV. NAC. DEL SANTA</t>
  </si>
  <si>
    <t>CLINICA GOOD HOPE NUEVO</t>
  </si>
  <si>
    <t>CLINICA GOOD HOPE SUBROGADO</t>
  </si>
  <si>
    <t>GOOD HOPE NUEVO</t>
  </si>
  <si>
    <t>GOOD HOPE SUBROGADO</t>
  </si>
  <si>
    <t>HOSPITAL LOAYZA</t>
  </si>
  <si>
    <t>(Gratificación, Escolaridad, etc.)</t>
  </si>
  <si>
    <t>MARINA</t>
  </si>
  <si>
    <t>GRUPO ALFA PERÚ</t>
  </si>
  <si>
    <t>GRUPO ALFA</t>
  </si>
  <si>
    <t>HOSP CASIMIRO ULLOA</t>
  </si>
  <si>
    <t>Ingreso variable</t>
  </si>
  <si>
    <t>INSTITUTO NOGUCHI</t>
  </si>
  <si>
    <t>MINISTERIO DE TRANSPORTES</t>
  </si>
  <si>
    <t>MTC</t>
  </si>
  <si>
    <t>REDES PUNO</t>
  </si>
  <si>
    <t>REDES CUSCO</t>
  </si>
  <si>
    <t>DIRESA PUNO</t>
  </si>
  <si>
    <t>HOSP LAMBAYEQUE</t>
  </si>
  <si>
    <t>HOSP HONORIO</t>
  </si>
  <si>
    <t>UTES ELEAZAR</t>
  </si>
  <si>
    <t>HOSP CASIMIRO</t>
  </si>
  <si>
    <t>NOGUCHI</t>
  </si>
  <si>
    <t>RED HUANUCO</t>
  </si>
  <si>
    <t>ESSALUD CESANTES</t>
  </si>
  <si>
    <t>SUNARP AREQUIPA</t>
  </si>
  <si>
    <t xml:space="preserve">* Ingreso Bruto de boleta adicional </t>
  </si>
  <si>
    <t>SUB CAFAE DIRIS LIMA NORTE</t>
  </si>
  <si>
    <t>DIRIS LIMA NORTE</t>
  </si>
  <si>
    <t>PONTIFICIA UNIVERSIDAD CATÓLICA DEL PERÚ</t>
  </si>
  <si>
    <t>UNIQUE</t>
  </si>
  <si>
    <t>(Se promedia los 3 últimos meses)</t>
  </si>
  <si>
    <t>* En caso no contar con variables en algún mes, el ingreso variable total se promediará entre 3 los meses</t>
  </si>
  <si>
    <t>EGEMSA</t>
  </si>
  <si>
    <t>SEAL AREQUIPA</t>
  </si>
  <si>
    <t>SEAL</t>
  </si>
  <si>
    <t>DÍA DE DESEMBOLSO</t>
  </si>
  <si>
    <t>UNIVERSIDAD NACIONAL DE LA AMAZONÍA</t>
  </si>
  <si>
    <t>U. NAC. AMAZONÍA</t>
  </si>
  <si>
    <t>UNIVERSIDAD NACIONAL DE TUMBES</t>
  </si>
  <si>
    <t>U. NAC. TUMBES</t>
  </si>
  <si>
    <t>SUB CAFAE DIRIS LIMA CENTRO</t>
  </si>
  <si>
    <t>DIRIS LIMA CENTRO</t>
  </si>
  <si>
    <t>HOSP LOAYZA NO ASOC</t>
  </si>
  <si>
    <t>HOSP.LOAYZA MEDIC.ASIST. ASOC.</t>
  </si>
  <si>
    <t>HOSP.LOAYZA ADMIN.ASOC.</t>
  </si>
  <si>
    <t>MUNICIPALIDAD BUSTAMANTE Y RIVERO</t>
  </si>
  <si>
    <t>MUN BUST Y RIV</t>
  </si>
  <si>
    <t>MINISTERIO PÚBLICO</t>
  </si>
  <si>
    <t>ORDEN SAN AGUSTIN</t>
  </si>
  <si>
    <t>SUB CAFAE DIRIS LIMA ESTE</t>
  </si>
  <si>
    <t>DIRIS LIMA ESTE</t>
  </si>
  <si>
    <t>CLINICA AREQUIPA</t>
  </si>
  <si>
    <t>PUCP Nombrado</t>
  </si>
  <si>
    <t>PUCP Contratado</t>
  </si>
  <si>
    <t>UNIVERSIDAD NACIONAL JORGE BASADRE</t>
  </si>
  <si>
    <t>REDONDOS SA</t>
  </si>
  <si>
    <t>RED1/RED2</t>
  </si>
  <si>
    <t>60 MESES</t>
  </si>
  <si>
    <t>HORAS EXTRAS</t>
  </si>
  <si>
    <t>PUCP Renovado convenio anterior</t>
  </si>
  <si>
    <t xml:space="preserve">EJERCITO </t>
  </si>
  <si>
    <t>RIMAC</t>
  </si>
  <si>
    <t>FAP</t>
  </si>
  <si>
    <t>RED DE SALUD CAJAMARCA</t>
  </si>
  <si>
    <t>U. NAC. CAJAMARCA</t>
  </si>
  <si>
    <t>UNIVERSIDAD NACIONAL DE CAJAMARCA</t>
  </si>
  <si>
    <t>UGEL SAN MARCOS</t>
  </si>
  <si>
    <t>CAJA HUANCAYO</t>
  </si>
  <si>
    <t>Buró</t>
  </si>
  <si>
    <t>BURÓ</t>
  </si>
  <si>
    <t>NB</t>
  </si>
  <si>
    <t>G1</t>
  </si>
  <si>
    <t>G2</t>
  </si>
  <si>
    <t>G3</t>
  </si>
  <si>
    <t>G4</t>
  </si>
  <si>
    <t>G5</t>
  </si>
  <si>
    <t>G6</t>
  </si>
  <si>
    <t>G7</t>
  </si>
  <si>
    <t>G8</t>
  </si>
  <si>
    <t>PERSONAL</t>
  </si>
  <si>
    <t>Cargo</t>
  </si>
  <si>
    <t>C. ADMINISTRATIVO</t>
  </si>
  <si>
    <t>C AGENCIA</t>
  </si>
  <si>
    <t>NO APLICA</t>
  </si>
  <si>
    <t>TELEFÓNICA EJECUTIVOS</t>
  </si>
  <si>
    <t>TELEFÓNICA EMPLEADOS</t>
  </si>
  <si>
    <t>HOSPITAL DANIEL ALCIDES CARRION</t>
  </si>
  <si>
    <t>HOSP D. A. CARRION</t>
  </si>
  <si>
    <t>SEDALIB</t>
  </si>
  <si>
    <t>PRIVADO</t>
  </si>
  <si>
    <t>GERENCIA REGIONAL DE SALUD LAMBAYEQUE</t>
  </si>
  <si>
    <t>GERESA LAMBAYEQUE</t>
  </si>
  <si>
    <t>DIRESA HUALLAGA CENTRAL</t>
  </si>
  <si>
    <t>DIRESA HUALLAGA</t>
  </si>
  <si>
    <t>REGION JUNIN SALUD TARMA</t>
  </si>
  <si>
    <t>EPSEL</t>
  </si>
  <si>
    <t>HOSPITAL REGIONAL DE CAJAMARCA</t>
  </si>
  <si>
    <t>HOSP. REG. DOC. CAJAMARCA</t>
  </si>
  <si>
    <t>OGESS ALTO MAYO</t>
  </si>
  <si>
    <t>DIRESA ALTO AMAZONAS</t>
  </si>
  <si>
    <t>DIRESA DE SALUD JAEN</t>
  </si>
  <si>
    <t>SUB CAFAE UGEL JAEN</t>
  </si>
  <si>
    <t>UGEL CELENDIN</t>
  </si>
  <si>
    <t>RED DE SALUD VALLE DEL MANTARO</t>
  </si>
  <si>
    <t>REDES VALLE DEL MANTARO</t>
  </si>
  <si>
    <t>HOSPITAL EL CARMEN</t>
  </si>
  <si>
    <t>MUNICIPALIDAD PROVINCIAL DE HUANCAYO</t>
  </si>
  <si>
    <t>MUNI HUANCAYO</t>
  </si>
  <si>
    <t>RED DE SALUD PACÍFICO NORTE</t>
  </si>
  <si>
    <t>RED DE SALUD PACIFICO NORTE</t>
  </si>
  <si>
    <t>U.NAC.JBASADRE</t>
  </si>
  <si>
    <t>DIRESA CHOTA</t>
  </si>
  <si>
    <t>HOSPITAL APOYO IQUITOS</t>
  </si>
  <si>
    <t>DIRESA CAJAMARCA</t>
  </si>
  <si>
    <t>UGEL MARISCAL CACERES</t>
  </si>
  <si>
    <t>SUBCAFAE UGEL CARHUAZ</t>
  </si>
  <si>
    <t>SUBCAFAE UGEL CHOTA</t>
  </si>
  <si>
    <t>Contratados a plazo indeterminado CAS</t>
  </si>
  <si>
    <t>SUBCAFAE UGEL N°9 HUAURA</t>
  </si>
  <si>
    <t>SUBCAFAE UGEL HUAURA</t>
  </si>
  <si>
    <t>SUBCAFAE UGEL UTCUBAMBA</t>
  </si>
  <si>
    <t>GERENCIA REGIONAL DE SALUD LA LIBERTAD</t>
  </si>
  <si>
    <t>HOSPITAL SANTA GEMA DE YURIMAGUAS</t>
  </si>
  <si>
    <t>UNIVERSIDAD NACIONAL SANTIAGO ANTUNEZ DE MAYOLO</t>
  </si>
  <si>
    <t>U. NAC. SANTIAGO A. DE MAYOLO</t>
  </si>
  <si>
    <t>SUBCAFAE UGEL HUARAL</t>
  </si>
  <si>
    <t>DIRESA CAJAMARCA NOMBRADOS</t>
  </si>
  <si>
    <t>HOSPITAL REGIONAL HERMILIO VALDIZAN</t>
  </si>
  <si>
    <t>RED DE SALUD AREQUIPA CAYLLOMA</t>
  </si>
  <si>
    <t>HOSPITAL BELEN TRUJILLO</t>
  </si>
  <si>
    <t>OGESS BAJO MAYO</t>
  </si>
  <si>
    <t>SUBCAFAE UGEL FERREÑAFE</t>
  </si>
  <si>
    <t>SUB CAFAE DE EDUCACION ICA</t>
  </si>
  <si>
    <t>RED DE SALUD TACNA</t>
  </si>
  <si>
    <t>HOSPITAL REGIONAL DE PUCALLPA</t>
  </si>
  <si>
    <t xml:space="preserve">Contratados a plazo indeterminado </t>
  </si>
  <si>
    <t>MAYOR DE 55 AÑOS AL FINALIZAR EL CRÉDITO</t>
  </si>
  <si>
    <t>MENOR DE 55 AÑOS AL FINALIZAR EL CRÉDITO</t>
  </si>
  <si>
    <t>GERESA LORETO</t>
  </si>
  <si>
    <t>Nombrados, cas y pensionista</t>
  </si>
  <si>
    <t>UNIV. SAN LUIS GONZAGA DE ICA</t>
  </si>
  <si>
    <t>REDESS SAN ROMAN</t>
  </si>
  <si>
    <t>SUB CAFAE DIRELL TRUJILLO</t>
  </si>
  <si>
    <t>POLICÍA NACIONAL DEL PERÚ</t>
  </si>
  <si>
    <t>PNP</t>
  </si>
  <si>
    <t>PNP. OFICIAL HASTA 49 AÑOS</t>
  </si>
  <si>
    <t>PNP. OFICIAL MAYOR DE 49 AÑOS HASTA 60</t>
  </si>
  <si>
    <t>PNP. SUBOFICIAL (SS, SB, ST1, ST2, S1 Y S2) HASTA 49 AÑOS</t>
  </si>
  <si>
    <t>PNP. SUBOFICIAL (ST3 Y S3) HASTA 49 AÑOS</t>
  </si>
  <si>
    <t>PNP. SUBOFICIAL (SS, SB, ST1, ST2, S1 Y S2) MAYOR  49 AÑOS HASTA 55</t>
  </si>
  <si>
    <t>PNP. SUBOFICIAL (ST3 Y S3) MAYOR DE 49 AÑOS HASTA 55</t>
  </si>
  <si>
    <t>MARINA. SUBOFICIALES TECNICO SUPERVISOR 1</t>
  </si>
  <si>
    <t>MARINA. SUBOFICIALES TECNICO 2DO</t>
  </si>
  <si>
    <t>MARINA. SUBOFICIALES TECNICO 3RO</t>
  </si>
  <si>
    <t>MARINA. SUBOFICIALES OFICIAL DE MAR 1</t>
  </si>
  <si>
    <t>MARINA. SUBOFICIALES OFICIAL DE MAR 2</t>
  </si>
  <si>
    <t>MARINA. SUBOFICIALES OFICIAL DE MAR 3</t>
  </si>
  <si>
    <t>SUB CAFAE DREP PIURA</t>
  </si>
  <si>
    <t xml:space="preserve">Reserva </t>
  </si>
  <si>
    <t>RED DE SALUD PACÍFICO NORTE NOMBRADO</t>
  </si>
  <si>
    <t>RED DE SALUD PACÍFICO NORTE CAS</t>
  </si>
  <si>
    <t>UNIDAD TERRITORIAL DE SALUD SATIPO</t>
  </si>
  <si>
    <t>RED DE SALUD CAJAMARCA CAS</t>
  </si>
  <si>
    <t>RED DE SALUD CAJAMARCA NOMBRADO</t>
  </si>
  <si>
    <t>DIRESA CHOTA CAS</t>
  </si>
  <si>
    <t>DIRESA CHOTA NOMB Y CONT A PZO INDET</t>
  </si>
  <si>
    <t>SUBCAFAE SE AREQUIPA</t>
  </si>
  <si>
    <t>-</t>
  </si>
  <si>
    <t>GERESA LORETO NOMBRADOS Y PENSIONISTAS</t>
  </si>
  <si>
    <t>GERESA LORETO CAS</t>
  </si>
  <si>
    <t>HOSP. REG. DOC. CAJAMARCA NOM. ASIST. , ADMIN. - PZO INDET.</t>
  </si>
  <si>
    <t>HOSP. REG. DOC. CAJAMARCA CAS</t>
  </si>
  <si>
    <t>MUN. DE HUANCAYO - NOM,CONT INDET, CONT C/SENT JUD, OBR C/SENT DEF</t>
  </si>
  <si>
    <t>MUN. DE HUANCAYO - CAS C/SENT DEF</t>
  </si>
  <si>
    <t>HOSPITAL SUB REGIONAL DE ANDAHUAYLAS</t>
  </si>
  <si>
    <t>SUBCAFAE UGEL CAJABAMBA</t>
  </si>
  <si>
    <t>SUB CAFAE UGEL CHULUCANAS</t>
  </si>
  <si>
    <t>Nombrados</t>
  </si>
  <si>
    <t>MUNICIPALIDAD PROVINCIAL DE CUSCO</t>
  </si>
  <si>
    <t>MUNI CUSCO</t>
  </si>
  <si>
    <t>RED DE SALUD ICA</t>
  </si>
  <si>
    <t>Nombrados y CAS</t>
  </si>
  <si>
    <t>DIRECCION SUB REGIONAL DE SALUD CUTERVO</t>
  </si>
  <si>
    <t>DIRESA CUTERVO</t>
  </si>
  <si>
    <t>Nombrados y contratados a plazo indeterminado</t>
  </si>
  <si>
    <t>DIRESA CUTERVO NOMB Y CONT A PZO INDET</t>
  </si>
  <si>
    <t>DIRESA CUTERVO CAS</t>
  </si>
  <si>
    <t>SUB CAFAE UGEL CAJAMARCA</t>
  </si>
  <si>
    <t>SUB CAFAE UGEL ASCOPE</t>
  </si>
  <si>
    <t>UTES N°06 NOMBRADOS</t>
  </si>
  <si>
    <t>UTES N°06 CAS</t>
  </si>
  <si>
    <t>DIRESA PIURA</t>
  </si>
  <si>
    <t>SUB CAFAE UGEL HUARAZ</t>
  </si>
  <si>
    <t>RED DE SALUD CAMANÁ CARAVELÍ</t>
  </si>
  <si>
    <t>SUB CAFAE UGEL PUNO</t>
  </si>
  <si>
    <t>SUB CAFAE UGEL  HUALGAYOC BAMBAMARCA</t>
  </si>
  <si>
    <t>SUB CAFAE UGEL  HUALGAYOC</t>
  </si>
  <si>
    <t>SUB CAFAE UGEL BARRANCA</t>
  </si>
  <si>
    <t>DIRECCIÓN DE SALUD APURIMAC II</t>
  </si>
  <si>
    <t>MARINA. ADMINISTRATIVOS OFICIALES SALUD Y DOCENTES NOM.</t>
  </si>
  <si>
    <t>SENATI</t>
  </si>
  <si>
    <t>36 meses</t>
  </si>
  <si>
    <t>HOSPITAL DE APOYO II – 2 SULLANA</t>
  </si>
  <si>
    <t>CAS y Contratados</t>
  </si>
  <si>
    <t>HOSP DE APOYO II – 2 SULLANA Nombrados</t>
  </si>
  <si>
    <t>DIRECCION REGIONAL DE SALUD UCAYALI</t>
  </si>
  <si>
    <t>UNIDAD EJECUTORA 403 SALUD MORROPON CHULUCANAS</t>
  </si>
  <si>
    <t>U. E DE SALUD MORROPON CHULUCANAS</t>
  </si>
  <si>
    <t>SUB CAFAE UGEL CHINCHA</t>
  </si>
  <si>
    <t>GERESA LA LIBERTAD Nombrados</t>
  </si>
  <si>
    <t>GERESA LA LIBERTAD CAS</t>
  </si>
  <si>
    <t>DIRESA UCAYALI - CAS</t>
  </si>
  <si>
    <t>DIRESA UCAYALI - Nombrados</t>
  </si>
  <si>
    <t>REDESS SAN ROMAN Nombrados</t>
  </si>
  <si>
    <t>REDESS SAN ROMAN CAS</t>
  </si>
  <si>
    <t>DIRESA JAEN - CAS</t>
  </si>
  <si>
    <t>DIRESA JAEN - Nom./Cont. Plazo Indet.</t>
  </si>
  <si>
    <t>CAS</t>
  </si>
  <si>
    <t>UNIVERSIDAD DE PIURA</t>
  </si>
  <si>
    <t>CAFAE UNT</t>
  </si>
  <si>
    <t>DIRESA PIURA - Nombrados</t>
  </si>
  <si>
    <t>DIRESA PIURA - CAS</t>
  </si>
  <si>
    <t>HOSP. HERMILIO VALDIZAN NOMBRADOS</t>
  </si>
  <si>
    <t>HOSP. HERMILIO VALDIZAN CAS</t>
  </si>
  <si>
    <t>HOSP. DANIEL ALCIDES CARRIÓN NOMBRADOS</t>
  </si>
  <si>
    <t>HOSP. DANIEL ALCIDES CARRIÓN CAS</t>
  </si>
  <si>
    <t>RED DE SALUD VALLE DEL MANTARO NOMBRADO</t>
  </si>
  <si>
    <t>RED DE SALUD VALLE DEL MANTARO CAS</t>
  </si>
  <si>
    <t>UTES SATIPO NOMBRADO</t>
  </si>
  <si>
    <t>UTES SATIPO CAS</t>
  </si>
  <si>
    <t>REGION JUNIN SALUD TARMA NOMBRADO</t>
  </si>
  <si>
    <t>REGION JUNIN SALUD TARMA CAS</t>
  </si>
  <si>
    <t>HOSP. REG. ANDAHUAYLAS NOMBRADO</t>
  </si>
  <si>
    <t>HOSP. REG. ANDAHUAYLAS CAS</t>
  </si>
  <si>
    <t>UTES SATIPO</t>
  </si>
  <si>
    <t>MUNICIPALIDAD PROVINCIAL DE CAJAMARCA</t>
  </si>
  <si>
    <t>MUNI CAJAMARCA</t>
  </si>
  <si>
    <t>SUBCAFAE SE CHANCHAMAYO</t>
  </si>
  <si>
    <t>SUB CAFAE UGEL SAN IGNACIO</t>
  </si>
  <si>
    <t>RENIEC</t>
  </si>
  <si>
    <t>UNIVERSIDAD SAN ANTONIO DE ABAD</t>
  </si>
  <si>
    <t>DIRIS LIMA CENTRO NOMBRADOS</t>
  </si>
  <si>
    <t>DIRIS LIMA CENTRO CAS</t>
  </si>
  <si>
    <t>UNIDAD EJECUTORA 404 SALUD UTCUBAMBA</t>
  </si>
  <si>
    <t>U. E DE SALUD UTCUBAMBA</t>
  </si>
  <si>
    <t>U. E DE SALUD UTCUBAMBA NOMBRADOS Y PLAZO INDETERMINADO</t>
  </si>
  <si>
    <t>U. E DE SALUD UTCUBAMBA CAS</t>
  </si>
  <si>
    <t>RED DE SALUD CORONEL PORTILLO</t>
  </si>
  <si>
    <t>SUB CAFAE UGEL TACNA</t>
  </si>
  <si>
    <t>MINISTERIO DE JUSTICIA Y DERECHOS HUMANOS</t>
  </si>
  <si>
    <t>FAP PERSONAL CIVIL</t>
  </si>
  <si>
    <t>FAP PERSONAL MILITAR</t>
  </si>
  <si>
    <t>SUB CAFAE UGEL YUNGAY</t>
  </si>
  <si>
    <t>DIRECCIÓN DE SALUD TUMBES</t>
  </si>
  <si>
    <t>DIRESA TUMBES</t>
  </si>
  <si>
    <t>DIRESA TUMBES NOMBRADOS</t>
  </si>
  <si>
    <t>DIRESA TUMBES CAS</t>
  </si>
  <si>
    <t xml:space="preserve">UNIDAD TERRITORIAL DE SALUD TINGO MARIA </t>
  </si>
  <si>
    <t>BITEL</t>
  </si>
  <si>
    <t>DIRESA ALTO AMAZONAS NOMBRADOS</t>
  </si>
  <si>
    <t>DIRESA ALTO AMAZONAS CAS</t>
  </si>
  <si>
    <t>HOSPITAL GENERAL DE JAEN</t>
  </si>
  <si>
    <t>HOSPITAL GENERAL DE JAEN NOMBRADOS</t>
  </si>
  <si>
    <t>HOSPITAL GENERAL DE JAEN CAS</t>
  </si>
  <si>
    <t>SUB CAFAE PISCO DIR SUB REG DE EDUCACIÓN</t>
  </si>
  <si>
    <t>SUB CAFAE PISCO</t>
  </si>
  <si>
    <t>UNIDAD EJECUTORA SALUD HUALGAYOC - BAMBAMARCA</t>
  </si>
  <si>
    <t>U. E DE SALUD HUALGAYOC - BAMBAMARCA</t>
  </si>
  <si>
    <t>U. E DE SALUD HUALGAYOC - BAMBAMARCA NOMBRADOS Y PLAZO INDETERMINADO</t>
  </si>
  <si>
    <t>U. E DE SALUD HUALGAYOC - BAMBAMARCA CAS</t>
  </si>
  <si>
    <t>SUB CAFAE UGEL SANTA</t>
  </si>
  <si>
    <t>CARTONES VILLA MARINA SA</t>
  </si>
  <si>
    <t>48 meses</t>
  </si>
  <si>
    <t>SEDAPAR</t>
  </si>
  <si>
    <t>HOSPITAL REGIONAL DE LORETO</t>
  </si>
  <si>
    <t xml:space="preserve">MINJUS NOMBRADO </t>
  </si>
  <si>
    <t>MINJUS CAS CON DESCUENTO 4TA CATEGORÍA</t>
  </si>
  <si>
    <t>MINJUS CAS SIN DESCUENTO 4TA CATEGORÍA</t>
  </si>
  <si>
    <t>CAFAE SUB REGION DE EDUCACION
CUTERVO</t>
  </si>
  <si>
    <t>CAFAE CUTERVO</t>
  </si>
  <si>
    <t>RED INTEGRADA DE SALUD CHANCHAMAYO</t>
  </si>
  <si>
    <t>RED DE SALUD PACHITEA</t>
  </si>
  <si>
    <t>HOSPITAL DE BARRANCA</t>
  </si>
  <si>
    <t>HOSPITAL DE BARRANCA NOMBRADO</t>
  </si>
  <si>
    <t>HOSPITAL DE BARRANCA CAS</t>
  </si>
  <si>
    <t>F.C. RED DE AGENCIAS</t>
  </si>
  <si>
    <t>F.C. OTROS</t>
  </si>
  <si>
    <t>CONTRALORIA GENERAL DE LA REPUBLICA</t>
  </si>
  <si>
    <t>UNIDAD EJECUTORA 404 HOSPITAL SAN JUAN DE DIOS - PISCO</t>
  </si>
  <si>
    <t>U. E HOSPITAL SAN JUAN DE DIOS - PISCO</t>
  </si>
  <si>
    <t>HOSPITAL SANTA MARIA DEL SOCORRO ICA</t>
  </si>
  <si>
    <t>HOSPITAL SANTA MARIA DEL SOCORRO ICA NOMBRADOS</t>
  </si>
  <si>
    <t>HOSPITAL SANTA MARIA DEL SOCORRO ICA CAS</t>
  </si>
  <si>
    <t>U. E HOSPITAL SAN JUAN DE DIOS - PISCO NOMBRADOS</t>
  </si>
  <si>
    <t>U. E HOSPITAL SAN JUAN DE DIOS - PISCO CAS</t>
  </si>
  <si>
    <t>DIRECCION DE RED DE SALUD RED HUAYLAS SUR</t>
  </si>
  <si>
    <t>DIRESA HUAYLAS SUR</t>
  </si>
  <si>
    <t>DIRESA HUAYLAS SUR CAS</t>
  </si>
  <si>
    <t>DIRESA HUAYLAS SUR NOMBRADOS</t>
  </si>
  <si>
    <t>CARVIMSA</t>
  </si>
  <si>
    <t>CARVIMSA ADMINISTRATIVOS</t>
  </si>
  <si>
    <t>CARVIMSA OPERARIOS</t>
  </si>
  <si>
    <t>DIRESA LUCIANO CASTILLO COLONNA</t>
  </si>
  <si>
    <t>DIRESA LUCIANO CASTILLO COLONNA NOMBRADOS</t>
  </si>
  <si>
    <t>DIRESA LUCIANO CASTILLO COLONNA CAS</t>
  </si>
  <si>
    <t>U. E DE SALUD MORROPON CHULUCANAS NOMBRADOS</t>
  </si>
  <si>
    <t>U. E DE SALUD MORROPON CHULUCANAS CAS</t>
  </si>
  <si>
    <t>HOSPITAL AMAZONICO</t>
  </si>
  <si>
    <t>HOSPITAL AMAZONICO NOMBRADOS</t>
  </si>
  <si>
    <t>HOSPITAL AMAZONICO CAS</t>
  </si>
  <si>
    <t>HOSPITAL BELEN TRUJILLO NOMBRADOS</t>
  </si>
  <si>
    <t>HOSPITAL BELEN TRUJILLO CAS</t>
  </si>
  <si>
    <t>AUTORIDAD NACIONAL DEL AGUA</t>
  </si>
  <si>
    <t>AUTORIDAD NACIONAL DEL AGUA NOMBRADO</t>
  </si>
  <si>
    <t>AUTORIDAD NACIONAL DEL AGUA CAS</t>
  </si>
  <si>
    <t>SUBCAFAE UGEL SAN MIGUEL</t>
  </si>
  <si>
    <t>HOSPITAL GOYENECHE</t>
  </si>
  <si>
    <t>UNIVERSIDAD NACIONAL MAYOR DE SAN MARCOS</t>
  </si>
  <si>
    <t>HOSPITAL JOSE H. SOTO CADENILLAS</t>
  </si>
  <si>
    <t>HOSPITAL JOSE H. SOTO CADENILLAS CAS</t>
  </si>
  <si>
    <t>HOSPITAL JOSE H. SOTO CADENILLAS NOMBRADO</t>
  </si>
  <si>
    <t>HOSPITAL VICTOR RAMOS GUARDIA NIVEL II-2-HUARAZ</t>
  </si>
  <si>
    <t>HOSPITAL VICTOR RAMOS GUARDIA</t>
  </si>
  <si>
    <t>HOSPITAL VICTOR RAMOS GUARDIA NOMBRADO</t>
  </si>
  <si>
    <t>HOSPITAL VICTOR RAMOS GUARDIA CAS</t>
  </si>
  <si>
    <t>HOSP DE APOYO II – 2 SULLANA Contrat</t>
  </si>
  <si>
    <t>HOSP DE APOYO II – 2 SULLANA Cas</t>
  </si>
  <si>
    <t>HOSPITAL II-2 TARAPOTO</t>
  </si>
  <si>
    <t>HOSPITAL II-2 TARAPOTO CAS</t>
  </si>
  <si>
    <t>HOSPITAL II-2 TARAPOTO NOMBRADO/INDETERMINADO</t>
  </si>
  <si>
    <t>CONTRALORIA G. DE LA REPUBLICA INDETERMINADO/DETERMINADO</t>
  </si>
  <si>
    <t>CONTRALORIA G. DE LA REPUBLICA CAS</t>
  </si>
  <si>
    <t>RED DE SALUD PACIFICO SUR NOMBRADO</t>
  </si>
  <si>
    <t>RED DE SALUD PACIFICO SUR CAS</t>
  </si>
  <si>
    <t>UNIDAD EJECUTORA 401 SALUD CHINCHA PISCO</t>
  </si>
  <si>
    <t>U. E SALUD CHINCHA PISCO</t>
  </si>
  <si>
    <t>U. E SALUD CHINCHA PISCO NOMBRADO</t>
  </si>
  <si>
    <t>U. E SALUD CHINCHA PISCO CAS</t>
  </si>
  <si>
    <t>SUB CAFAE UGEL SAN MIGUEL</t>
  </si>
  <si>
    <t>SUB CAFAE UGEL SULLANA</t>
  </si>
  <si>
    <t>AIS HOSPITAL DANIEL A CARRION</t>
  </si>
  <si>
    <t>SUB CAFAE UGEL CHEPEN</t>
  </si>
  <si>
    <t>UNIVERSIDAD NACIONAL AGRARIA DE LA SELVA</t>
  </si>
  <si>
    <t>HOSPITAL REGIONAL DE ICA</t>
  </si>
  <si>
    <t>HOSPITAL REGIONAL DE ICA NOMBRADO</t>
  </si>
  <si>
    <t>HOSPITAL REGIONAL DE ICA CAS</t>
  </si>
  <si>
    <t>DIRESA CAJAMARCA CAS</t>
  </si>
  <si>
    <t xml:space="preserve">OGESS BAJO MAYO </t>
  </si>
  <si>
    <t>MARINA. SUBOFICIALES TECNICO SUPERVISOR 2DO Y TECNICO 1°</t>
  </si>
  <si>
    <t>SUB CAFAE UGEL ABANCAY</t>
  </si>
  <si>
    <t>HOSPITAL HIPOLITO UNANUE NOMBRADO</t>
  </si>
  <si>
    <t>HOSPITAL HIPOLITO UNANUE CAS</t>
  </si>
  <si>
    <t>HOSPITAL D. LAS MERCEDES</t>
  </si>
  <si>
    <t>HOSPITAL D. LAS MERCEDES NOMBRADO</t>
  </si>
  <si>
    <t>HOSPITAL D. LAS MERCEDES CAS/CONTRATO POR FUNC.</t>
  </si>
  <si>
    <t>CONVENIO</t>
  </si>
  <si>
    <t>N° CUOTAS</t>
  </si>
  <si>
    <t>Sin seguro</t>
  </si>
  <si>
    <t>Tipo de Moneda</t>
  </si>
  <si>
    <t>Soles</t>
  </si>
  <si>
    <t>- LA TASA ES FIJA DURANTE TODO EL PERIODO DEL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</si>
</sst>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&quot;S/&quot;* #,##0.00_-;\-&quot;S/&quot;* #,##0.00_-;_-&quot;S/&quot;* &quot;-&quot;??_-;_-@_-"/>
    <numFmt numFmtId="165" formatCode="_(* #,##0.00_);_(* \(#,##0.00\);_(* &quot;-&quot;??_);_(@_)"/>
    <numFmt numFmtId="166" formatCode="&quot;S/.&quot;#,##0.00_);[Red]\(&quot;S/.&quot;#,##0.00\)"/>
    <numFmt numFmtId="167" formatCode="&quot;S/.&quot;#,##0.00"/>
    <numFmt numFmtId="168" formatCode="##0.000000&quot;%&quot;"/>
    <numFmt numFmtId="169" formatCode="&quot;c/&quot;0\ &quot;mes(es)&quot;"/>
    <numFmt numFmtId="170" formatCode="0.000%"/>
    <numFmt numFmtId="171" formatCode="0.00000000"/>
    <numFmt numFmtId="172" formatCode="&quot;S/.&quot;\ #,##0.00"/>
    <numFmt numFmtId="173" formatCode="0.000000"/>
    <numFmt numFmtId="174" formatCode="_(&quot;S/.&quot;* #,##0.00_);_(&quot;S/.&quot;* \(#,##0.00\);_(&quot;S/.&quot;* &quot;-&quot;??_);_(@_)"/>
    <numFmt numFmtId="175" formatCode="dd/mm/yy;@"/>
    <numFmt numFmtId="176" formatCode="&quot;S/.&quot;\ #,##0"/>
    <numFmt numFmtId="177" formatCode="dd/mm/yyyy;@"/>
    <numFmt numFmtId="178" formatCode="0.0%"/>
    <numFmt numFmtId="179" formatCode="0.00000%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indexed="56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3"/>
      <name val="Calibri"/>
      <family val="2"/>
    </font>
    <font>
      <sz val="12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6"/>
      <color theme="0" tint="-0.14999847407452621"/>
      <name val="Calibri"/>
      <family val="2"/>
      <scheme val="minor"/>
    </font>
    <font>
      <sz val="12"/>
      <color theme="0" tint="-0.249977111117893"/>
      <name val="Calibri"/>
      <family val="2"/>
    </font>
    <font>
      <b/>
      <sz val="12"/>
      <color theme="0" tint="-0.249977111117893"/>
      <name val="Calibri"/>
      <family val="2"/>
    </font>
    <font>
      <b/>
      <sz val="11"/>
      <color theme="0" tint="-0.249977111117893"/>
      <name val="Calibri"/>
      <family val="2"/>
      <scheme val="minor"/>
    </font>
    <font>
      <b/>
      <sz val="16"/>
      <color theme="0" tint="-0.249977111117893"/>
      <name val="Calibri"/>
      <family val="2"/>
    </font>
    <font>
      <b/>
      <sz val="18"/>
      <color theme="0" tint="-0.249977111117893"/>
      <name val="Calibri"/>
      <family val="2"/>
    </font>
    <font>
      <b/>
      <sz val="11"/>
      <color theme="0" tint="-0.249977111117893"/>
      <name val="Arial"/>
      <family val="2"/>
    </font>
    <font>
      <b/>
      <sz val="16"/>
      <color theme="0" tint="-0.249977111117893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3"/>
      <color theme="0" tint="-0.249977111117893"/>
      <name val="Calibri"/>
      <family val="2"/>
      <scheme val="minor"/>
    </font>
    <font>
      <b/>
      <sz val="18"/>
      <color theme="0" tint="-0.249977111117893"/>
      <name val="Calibri"/>
      <family val="2"/>
      <scheme val="minor"/>
    </font>
    <font>
      <sz val="9"/>
      <color rgb="FF1F1F1F"/>
      <name val="Arial"/>
      <family val="2"/>
    </font>
    <font>
      <sz val="11"/>
      <color rgb="FFFFFF00"/>
      <name val="Calibri"/>
      <family val="2"/>
      <scheme val="minor"/>
    </font>
    <font>
      <sz val="12"/>
      <color rgb="FFFF0000"/>
      <name val="Calibri"/>
      <family val="2"/>
    </font>
    <font>
      <sz val="12"/>
      <color theme="3"/>
      <name val="Calibri"/>
      <family val="2"/>
      <scheme val="minor"/>
    </font>
    <font>
      <sz val="12"/>
      <color theme="3"/>
      <name val="Arial"/>
      <family val="2"/>
    </font>
    <font>
      <sz val="11"/>
      <name val="Calibri"/>
      <family val="2"/>
      <scheme val="minor"/>
    </font>
    <font>
      <b/>
      <sz val="12"/>
      <color theme="0" tint="-0.34998626667073579"/>
      <name val="Arial"/>
      <family val="2"/>
    </font>
    <font>
      <b/>
      <sz val="12"/>
      <color theme="0" tint="-0.34998626667073579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174" fontId="1" fillId="0" borderId="0" applyFont="0" applyFill="0" applyBorder="0" applyAlignment="0" applyProtection="0"/>
    <xf numFmtId="0" fontId="12" fillId="0" borderId="5"/>
    <xf numFmtId="0" fontId="12" fillId="0" borderId="5"/>
    <xf numFmtId="0" fontId="1" fillId="0" borderId="0"/>
    <xf numFmtId="0" fontId="12" fillId="0" borderId="0"/>
    <xf numFmtId="0" fontId="12" fillId="0" borderId="0"/>
    <xf numFmtId="164" fontId="1" fillId="0" borderId="0" applyFont="0" applyFill="0" applyBorder="0" applyAlignment="0" applyProtection="0"/>
  </cellStyleXfs>
  <cellXfs count="298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2" fontId="0" fillId="0" borderId="0" xfId="0" applyNumberFormat="1"/>
    <xf numFmtId="0" fontId="9" fillId="0" borderId="0" xfId="0" applyFont="1"/>
    <xf numFmtId="173" fontId="2" fillId="0" borderId="0" xfId="0" applyNumberFormat="1" applyFont="1"/>
    <xf numFmtId="171" fontId="2" fillId="0" borderId="0" xfId="0" applyNumberFormat="1" applyFont="1"/>
    <xf numFmtId="165" fontId="2" fillId="0" borderId="0" xfId="1" applyFont="1" applyProtection="1"/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70" fontId="2" fillId="0" borderId="0" xfId="2" applyNumberFormat="1" applyFont="1" applyProtection="1"/>
    <xf numFmtId="167" fontId="5" fillId="0" borderId="0" xfId="0" applyNumberFormat="1" applyFont="1"/>
    <xf numFmtId="4" fontId="2" fillId="0" borderId="0" xfId="0" applyNumberFormat="1" applyFont="1"/>
    <xf numFmtId="165" fontId="2" fillId="0" borderId="0" xfId="0" applyNumberFormat="1" applyFont="1"/>
    <xf numFmtId="0" fontId="7" fillId="0" borderId="0" xfId="0" applyFont="1"/>
    <xf numFmtId="14" fontId="5" fillId="0" borderId="0" xfId="0" applyNumberFormat="1" applyFont="1" applyAlignment="1">
      <alignment horizontal="right"/>
    </xf>
    <xf numFmtId="168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14" fontId="6" fillId="0" borderId="0" xfId="0" applyNumberFormat="1" applyFont="1"/>
    <xf numFmtId="0" fontId="6" fillId="0" borderId="0" xfId="0" applyFont="1"/>
    <xf numFmtId="0" fontId="3" fillId="0" borderId="0" xfId="0" applyFont="1"/>
    <xf numFmtId="14" fontId="6" fillId="2" borderId="0" xfId="0" applyNumberFormat="1" applyFont="1" applyFill="1"/>
    <xf numFmtId="0" fontId="2" fillId="0" borderId="0" xfId="0" quotePrefix="1" applyFont="1" applyAlignment="1">
      <alignment horizontal="left"/>
    </xf>
    <xf numFmtId="169" fontId="6" fillId="0" borderId="0" xfId="0" applyNumberFormat="1" applyFont="1"/>
    <xf numFmtId="172" fontId="3" fillId="0" borderId="0" xfId="0" applyNumberFormat="1" applyFont="1"/>
    <xf numFmtId="10" fontId="3" fillId="0" borderId="0" xfId="2" applyNumberFormat="1" applyFont="1" applyProtection="1"/>
    <xf numFmtId="9" fontId="2" fillId="0" borderId="0" xfId="0" applyNumberFormat="1" applyFont="1"/>
    <xf numFmtId="0" fontId="5" fillId="0" borderId="0" xfId="0" applyFont="1" applyAlignment="1">
      <alignment horizontal="left"/>
    </xf>
    <xf numFmtId="0" fontId="14" fillId="5" borderId="3" xfId="3" applyFont="1" applyFill="1" applyBorder="1" applyAlignment="1">
      <alignment horizontal="center" wrapText="1"/>
    </xf>
    <xf numFmtId="174" fontId="14" fillId="5" borderId="3" xfId="4" applyFont="1" applyFill="1" applyBorder="1" applyAlignment="1">
      <alignment horizontal="center" vertical="center" wrapText="1"/>
    </xf>
    <xf numFmtId="175" fontId="14" fillId="5" borderId="3" xfId="3" applyNumberFormat="1" applyFont="1" applyFill="1" applyBorder="1" applyAlignment="1">
      <alignment horizontal="center" wrapText="1"/>
    </xf>
    <xf numFmtId="14" fontId="13" fillId="0" borderId="1" xfId="3" applyNumberFormat="1" applyFont="1" applyBorder="1" applyAlignment="1">
      <alignment horizontal="center" wrapText="1"/>
    </xf>
    <xf numFmtId="0" fontId="13" fillId="0" borderId="1" xfId="3" applyFont="1" applyBorder="1" applyAlignment="1">
      <alignment horizontal="center" wrapText="1"/>
    </xf>
    <xf numFmtId="0" fontId="13" fillId="0" borderId="1" xfId="3" applyFont="1" applyBorder="1" applyAlignment="1">
      <alignment horizontal="left" vertical="center" wrapText="1"/>
    </xf>
    <xf numFmtId="0" fontId="13" fillId="0" borderId="0" xfId="3" applyFont="1" applyAlignment="1">
      <alignment wrapText="1"/>
    </xf>
    <xf numFmtId="49" fontId="14" fillId="5" borderId="3" xfId="3" applyNumberFormat="1" applyFont="1" applyFill="1" applyBorder="1" applyAlignment="1">
      <alignment horizontal="center" wrapText="1"/>
    </xf>
    <xf numFmtId="9" fontId="14" fillId="5" borderId="3" xfId="3" applyNumberFormat="1" applyFont="1" applyFill="1" applyBorder="1" applyAlignment="1">
      <alignment horizontal="center" wrapText="1"/>
    </xf>
    <xf numFmtId="176" fontId="14" fillId="5" borderId="3" xfId="3" applyNumberFormat="1" applyFont="1" applyFill="1" applyBorder="1" applyAlignment="1">
      <alignment horizontal="center" wrapText="1"/>
    </xf>
    <xf numFmtId="0" fontId="13" fillId="0" borderId="1" xfId="3" applyFont="1" applyBorder="1" applyAlignment="1">
      <alignment wrapText="1"/>
    </xf>
    <xf numFmtId="49" fontId="13" fillId="0" borderId="1" xfId="3" applyNumberFormat="1" applyFont="1" applyBorder="1" applyAlignment="1">
      <alignment horizontal="center" vertical="center" wrapText="1"/>
    </xf>
    <xf numFmtId="174" fontId="13" fillId="0" borderId="1" xfId="4" applyFont="1" applyFill="1" applyBorder="1" applyAlignment="1">
      <alignment horizontal="center" wrapText="1"/>
    </xf>
    <xf numFmtId="177" fontId="13" fillId="0" borderId="1" xfId="3" applyNumberFormat="1" applyFont="1" applyBorder="1" applyAlignment="1">
      <alignment horizontal="center" wrapText="1"/>
    </xf>
    <xf numFmtId="9" fontId="13" fillId="0" borderId="1" xfId="3" applyNumberFormat="1" applyFont="1" applyBorder="1" applyAlignment="1">
      <alignment horizontal="center" wrapText="1"/>
    </xf>
    <xf numFmtId="175" fontId="13" fillId="0" borderId="1" xfId="3" applyNumberFormat="1" applyFont="1" applyBorder="1" applyAlignment="1">
      <alignment horizontal="center" wrapText="1"/>
    </xf>
    <xf numFmtId="9" fontId="13" fillId="0" borderId="1" xfId="3" quotePrefix="1" applyNumberFormat="1" applyFont="1" applyBorder="1" applyAlignment="1">
      <alignment horizontal="center" wrapText="1"/>
    </xf>
    <xf numFmtId="0" fontId="14" fillId="5" borderId="4" xfId="3" applyFont="1" applyFill="1" applyBorder="1" applyAlignment="1">
      <alignment horizontal="center" wrapText="1"/>
    </xf>
    <xf numFmtId="17" fontId="0" fillId="0" borderId="0" xfId="0" applyNumberFormat="1"/>
    <xf numFmtId="0" fontId="10" fillId="0" borderId="0" xfId="0" applyFont="1" applyAlignment="1">
      <alignment horizontal="center"/>
    </xf>
    <xf numFmtId="0" fontId="13" fillId="0" borderId="1" xfId="3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4" fontId="2" fillId="0" borderId="0" xfId="0" applyNumberFormat="1" applyFont="1"/>
    <xf numFmtId="17" fontId="1" fillId="0" borderId="6" xfId="0" applyNumberFormat="1" applyFont="1" applyBorder="1" applyAlignment="1">
      <alignment wrapText="1"/>
    </xf>
    <xf numFmtId="14" fontId="13" fillId="0" borderId="6" xfId="3" applyNumberFormat="1" applyFont="1" applyBorder="1" applyAlignment="1">
      <alignment horizontal="center" wrapText="1"/>
    </xf>
    <xf numFmtId="174" fontId="13" fillId="0" borderId="6" xfId="4" applyFont="1" applyFill="1" applyBorder="1" applyAlignment="1">
      <alignment horizontal="center" wrapText="1"/>
    </xf>
    <xf numFmtId="177" fontId="13" fillId="0" borderId="6" xfId="3" applyNumberFormat="1" applyFont="1" applyBorder="1" applyAlignment="1">
      <alignment horizontal="center" wrapText="1"/>
    </xf>
    <xf numFmtId="0" fontId="13" fillId="0" borderId="6" xfId="3" applyFont="1" applyBorder="1" applyAlignment="1">
      <alignment horizontal="center" wrapText="1"/>
    </xf>
    <xf numFmtId="9" fontId="13" fillId="0" borderId="6" xfId="3" applyNumberFormat="1" applyFont="1" applyBorder="1" applyAlignment="1">
      <alignment horizontal="center" wrapText="1"/>
    </xf>
    <xf numFmtId="0" fontId="13" fillId="0" borderId="6" xfId="3" applyFont="1" applyBorder="1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/>
    <xf numFmtId="17" fontId="15" fillId="0" borderId="1" xfId="0" applyNumberFormat="1" applyFont="1" applyBorder="1" applyAlignment="1">
      <alignment wrapText="1"/>
    </xf>
    <xf numFmtId="0" fontId="15" fillId="0" borderId="1" xfId="0" applyFont="1" applyBorder="1"/>
    <xf numFmtId="0" fontId="13" fillId="0" borderId="1" xfId="3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10" fontId="0" fillId="0" borderId="0" xfId="0" applyNumberFormat="1"/>
    <xf numFmtId="10" fontId="13" fillId="0" borderId="1" xfId="3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13" fillId="0" borderId="1" xfId="3" applyNumberFormat="1" applyFont="1" applyBorder="1" applyAlignment="1">
      <alignment wrapText="1"/>
    </xf>
    <xf numFmtId="10" fontId="13" fillId="0" borderId="1" xfId="3" applyNumberFormat="1" applyFont="1" applyBorder="1" applyAlignment="1">
      <alignment wrapText="1"/>
    </xf>
    <xf numFmtId="0" fontId="13" fillId="0" borderId="1" xfId="3" applyFont="1" applyBorder="1" applyAlignment="1">
      <alignment vertical="center" wrapText="1"/>
    </xf>
    <xf numFmtId="17" fontId="15" fillId="0" borderId="1" xfId="0" applyNumberFormat="1" applyFont="1" applyBorder="1" applyAlignment="1">
      <alignment vertical="center" wrapText="1"/>
    </xf>
    <xf numFmtId="9" fontId="13" fillId="0" borderId="1" xfId="3" quotePrefix="1" applyNumberFormat="1" applyFont="1" applyBorder="1" applyAlignment="1">
      <alignment horizontal="center" vertical="center" wrapText="1"/>
    </xf>
    <xf numFmtId="174" fontId="13" fillId="0" borderId="1" xfId="4" applyFont="1" applyFill="1" applyBorder="1" applyAlignment="1">
      <alignment horizontal="center" vertical="center" wrapText="1"/>
    </xf>
    <xf numFmtId="177" fontId="13" fillId="0" borderId="1" xfId="3" applyNumberFormat="1" applyFont="1" applyBorder="1" applyAlignment="1">
      <alignment horizontal="center" vertical="center" wrapText="1"/>
    </xf>
    <xf numFmtId="175" fontId="13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" fontId="0" fillId="0" borderId="1" xfId="0" applyNumberFormat="1" applyBorder="1" applyAlignment="1">
      <alignment vertical="center"/>
    </xf>
    <xf numFmtId="178" fontId="13" fillId="0" borderId="1" xfId="3" applyNumberFormat="1" applyFont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0" fontId="0" fillId="0" borderId="1" xfId="0" applyNumberFormat="1" applyBorder="1"/>
    <xf numFmtId="14" fontId="13" fillId="0" borderId="0" xfId="3" applyNumberFormat="1" applyFont="1" applyAlignment="1">
      <alignment horizontal="center" wrapText="1"/>
    </xf>
    <xf numFmtId="0" fontId="21" fillId="0" borderId="0" xfId="0" applyFont="1"/>
    <xf numFmtId="0" fontId="22" fillId="0" borderId="0" xfId="0" applyFont="1"/>
    <xf numFmtId="0" fontId="19" fillId="0" borderId="0" xfId="0" applyFont="1" applyAlignment="1">
      <alignment vertical="center"/>
    </xf>
    <xf numFmtId="0" fontId="23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2" fontId="0" fillId="0" borderId="0" xfId="0" applyNumberFormat="1" applyProtection="1">
      <protection hidden="1"/>
    </xf>
    <xf numFmtId="14" fontId="6" fillId="3" borderId="0" xfId="0" applyNumberFormat="1" applyFont="1" applyFill="1" applyProtection="1">
      <protection hidden="1"/>
    </xf>
    <xf numFmtId="0" fontId="0" fillId="3" borderId="9" xfId="0" applyFill="1" applyBorder="1" applyProtection="1">
      <protection hidden="1"/>
    </xf>
    <xf numFmtId="0" fontId="6" fillId="3" borderId="0" xfId="0" applyFont="1" applyFill="1" applyProtection="1">
      <protection hidden="1"/>
    </xf>
    <xf numFmtId="14" fontId="11" fillId="3" borderId="8" xfId="0" applyNumberFormat="1" applyFont="1" applyFill="1" applyBorder="1" applyProtection="1">
      <protection hidden="1"/>
    </xf>
    <xf numFmtId="2" fontId="3" fillId="3" borderId="8" xfId="0" applyNumberFormat="1" applyFont="1" applyFill="1" applyBorder="1" applyProtection="1">
      <protection hidden="1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165" fontId="2" fillId="0" borderId="0" xfId="1" applyFont="1" applyProtection="1">
      <protection hidden="1"/>
    </xf>
    <xf numFmtId="165" fontId="4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165" fontId="3" fillId="0" borderId="0" xfId="1" applyFont="1" applyFill="1" applyAlignment="1" applyProtection="1">
      <alignment horizontal="center" vertical="center" wrapText="1"/>
      <protection hidden="1"/>
    </xf>
    <xf numFmtId="0" fontId="5" fillId="0" borderId="0" xfId="0" quotePrefix="1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65" fontId="5" fillId="0" borderId="0" xfId="1" applyFont="1" applyAlignment="1" applyProtection="1">
      <alignment horizontal="right"/>
      <protection hidden="1"/>
    </xf>
    <xf numFmtId="14" fontId="2" fillId="0" borderId="0" xfId="0" applyNumberFormat="1" applyFont="1" applyProtection="1">
      <protection hidden="1"/>
    </xf>
    <xf numFmtId="173" fontId="2" fillId="0" borderId="0" xfId="0" applyNumberFormat="1" applyFont="1" applyProtection="1">
      <protection hidden="1"/>
    </xf>
    <xf numFmtId="1" fontId="5" fillId="0" borderId="0" xfId="0" applyNumberFormat="1" applyFont="1" applyAlignment="1" applyProtection="1">
      <alignment horizontal="right"/>
      <protection hidden="1"/>
    </xf>
    <xf numFmtId="171" fontId="2" fillId="0" borderId="0" xfId="0" applyNumberFormat="1" applyFont="1" applyProtection="1">
      <protection hidden="1"/>
    </xf>
    <xf numFmtId="165" fontId="5" fillId="0" borderId="0" xfId="0" applyNumberFormat="1" applyFont="1" applyAlignment="1" applyProtection="1">
      <alignment horizontal="right"/>
      <protection hidden="1"/>
    </xf>
    <xf numFmtId="165" fontId="4" fillId="0" borderId="0" xfId="1" applyFont="1" applyProtection="1">
      <protection hidden="1"/>
    </xf>
    <xf numFmtId="166" fontId="5" fillId="0" borderId="0" xfId="0" applyNumberFormat="1" applyFont="1" applyAlignment="1" applyProtection="1">
      <alignment horizontal="right"/>
      <protection hidden="1"/>
    </xf>
    <xf numFmtId="2" fontId="2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14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right"/>
      <protection hidden="1"/>
    </xf>
    <xf numFmtId="14" fontId="2" fillId="0" borderId="2" xfId="0" applyNumberFormat="1" applyFont="1" applyBorder="1" applyProtection="1">
      <protection hidden="1"/>
    </xf>
    <xf numFmtId="1" fontId="5" fillId="0" borderId="2" xfId="0" applyNumberFormat="1" applyFont="1" applyBorder="1" applyAlignment="1" applyProtection="1">
      <alignment horizontal="right"/>
      <protection hidden="1"/>
    </xf>
    <xf numFmtId="173" fontId="2" fillId="0" borderId="2" xfId="0" applyNumberFormat="1" applyFont="1" applyBorder="1" applyProtection="1">
      <protection hidden="1"/>
    </xf>
    <xf numFmtId="171" fontId="2" fillId="0" borderId="2" xfId="0" applyNumberFormat="1" applyFont="1" applyBorder="1" applyProtection="1">
      <protection hidden="1"/>
    </xf>
    <xf numFmtId="165" fontId="2" fillId="0" borderId="2" xfId="1" applyFont="1" applyBorder="1" applyProtection="1">
      <protection hidden="1"/>
    </xf>
    <xf numFmtId="0" fontId="16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25" fillId="0" borderId="0" xfId="0" applyFont="1" applyProtection="1">
      <protection hidden="1"/>
    </xf>
    <xf numFmtId="4" fontId="18" fillId="0" borderId="0" xfId="0" applyNumberFormat="1" applyFont="1" applyAlignment="1" applyProtection="1">
      <alignment horizontal="center" vertical="center"/>
      <protection hidden="1"/>
    </xf>
    <xf numFmtId="0" fontId="25" fillId="0" borderId="0" xfId="0" applyFont="1"/>
    <xf numFmtId="0" fontId="25" fillId="0" borderId="0" xfId="0" applyFont="1" applyAlignment="1">
      <alignment vertical="center"/>
    </xf>
    <xf numFmtId="0" fontId="27" fillId="0" borderId="0" xfId="0" applyFont="1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>
      <alignment vertical="center"/>
    </xf>
    <xf numFmtId="0" fontId="28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4" fontId="23" fillId="0" borderId="0" xfId="0" applyNumberFormat="1" applyFont="1" applyAlignment="1" applyProtection="1">
      <alignment horizontal="center" vertical="center"/>
      <protection hidden="1"/>
    </xf>
    <xf numFmtId="4" fontId="24" fillId="8" borderId="10" xfId="0" applyNumberFormat="1" applyFont="1" applyFill="1" applyBorder="1" applyAlignment="1" applyProtection="1">
      <alignment horizontal="center" vertical="center"/>
      <protection locked="0"/>
    </xf>
    <xf numFmtId="0" fontId="21" fillId="8" borderId="13" xfId="0" applyFont="1" applyFill="1" applyBorder="1" applyProtection="1">
      <protection locked="0"/>
    </xf>
    <xf numFmtId="0" fontId="30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center" wrapText="1"/>
      <protection hidden="1"/>
    </xf>
    <xf numFmtId="0" fontId="32" fillId="0" borderId="0" xfId="0" applyFont="1" applyAlignment="1" applyProtection="1">
      <alignment vertical="center"/>
      <protection hidden="1"/>
    </xf>
    <xf numFmtId="4" fontId="32" fillId="0" borderId="0" xfId="0" applyNumberFormat="1" applyFont="1" applyProtection="1">
      <protection hidden="1"/>
    </xf>
    <xf numFmtId="0" fontId="32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9" fontId="32" fillId="0" borderId="0" xfId="0" applyNumberFormat="1" applyFont="1" applyAlignment="1" applyProtection="1">
      <alignment horizontal="left" vertical="center"/>
      <protection hidden="1"/>
    </xf>
    <xf numFmtId="4" fontId="22" fillId="0" borderId="0" xfId="0" applyNumberFormat="1" applyFont="1" applyProtection="1">
      <protection hidden="1"/>
    </xf>
    <xf numFmtId="0" fontId="33" fillId="0" borderId="0" xfId="0" applyFont="1" applyAlignment="1" applyProtection="1">
      <alignment vertical="center"/>
      <protection hidden="1"/>
    </xf>
    <xf numFmtId="4" fontId="22" fillId="0" borderId="0" xfId="0" applyNumberFormat="1" applyFont="1"/>
    <xf numFmtId="0" fontId="37" fillId="0" borderId="0" xfId="0" applyFont="1"/>
    <xf numFmtId="0" fontId="38" fillId="0" borderId="0" xfId="0" applyFont="1" applyProtection="1">
      <protection hidden="1"/>
    </xf>
    <xf numFmtId="14" fontId="13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3" fillId="9" borderId="1" xfId="3" applyFont="1" applyFill="1" applyBorder="1" applyAlignment="1">
      <alignment wrapText="1"/>
    </xf>
    <xf numFmtId="9" fontId="13" fillId="9" borderId="1" xfId="3" applyNumberFormat="1" applyFont="1" applyFill="1" applyBorder="1" applyAlignment="1">
      <alignment horizontal="center" wrapText="1"/>
    </xf>
    <xf numFmtId="0" fontId="0" fillId="9" borderId="1" xfId="0" applyFill="1" applyBorder="1"/>
    <xf numFmtId="0" fontId="36" fillId="0" borderId="12" xfId="0" applyFont="1" applyBorder="1" applyAlignment="1" applyProtection="1">
      <alignment horizontal="center"/>
      <protection locked="0"/>
    </xf>
    <xf numFmtId="0" fontId="36" fillId="0" borderId="16" xfId="0" applyFont="1" applyBorder="1" applyProtection="1">
      <protection locked="0"/>
    </xf>
    <xf numFmtId="165" fontId="39" fillId="0" borderId="0" xfId="1" applyFont="1" applyFill="1" applyProtection="1"/>
    <xf numFmtId="165" fontId="40" fillId="0" borderId="0" xfId="1" applyFont="1" applyFill="1" applyProtection="1"/>
    <xf numFmtId="0" fontId="41" fillId="0" borderId="0" xfId="0" applyFont="1"/>
    <xf numFmtId="2" fontId="27" fillId="0" borderId="0" xfId="0" applyNumberFormat="1" applyFont="1" applyProtection="1">
      <protection hidden="1"/>
    </xf>
    <xf numFmtId="1" fontId="41" fillId="0" borderId="0" xfId="0" applyNumberFormat="1" applyFont="1" applyAlignment="1">
      <alignment horizontal="center"/>
    </xf>
    <xf numFmtId="165" fontId="42" fillId="0" borderId="0" xfId="1" applyFont="1" applyFill="1" applyProtection="1">
      <protection hidden="1"/>
    </xf>
    <xf numFmtId="0" fontId="27" fillId="0" borderId="0" xfId="0" applyFont="1" applyAlignment="1">
      <alignment vertical="center"/>
    </xf>
    <xf numFmtId="4" fontId="41" fillId="0" borderId="0" xfId="0" applyNumberFormat="1" applyFont="1"/>
    <xf numFmtId="165" fontId="43" fillId="0" borderId="0" xfId="1" applyFont="1" applyFill="1" applyProtection="1"/>
    <xf numFmtId="9" fontId="25" fillId="0" borderId="0" xfId="0" applyNumberFormat="1" applyFont="1"/>
    <xf numFmtId="3" fontId="27" fillId="0" borderId="0" xfId="0" applyNumberFormat="1" applyFont="1" applyAlignment="1" applyProtection="1">
      <alignment horizontal="center"/>
      <protection hidden="1"/>
    </xf>
    <xf numFmtId="0" fontId="41" fillId="0" borderId="0" xfId="0" applyFont="1" applyProtection="1">
      <protection hidden="1"/>
    </xf>
    <xf numFmtId="2" fontId="25" fillId="0" borderId="0" xfId="0" applyNumberFormat="1" applyFont="1"/>
    <xf numFmtId="164" fontId="34" fillId="0" borderId="0" xfId="10" applyFont="1" applyFill="1" applyAlignment="1" applyProtection="1">
      <alignment horizontal="center" vertical="center" wrapText="1"/>
      <protection hidden="1"/>
    </xf>
    <xf numFmtId="9" fontId="29" fillId="0" borderId="0" xfId="0" applyNumberFormat="1" applyFont="1" applyAlignment="1">
      <alignment horizontal="center"/>
    </xf>
    <xf numFmtId="4" fontId="24" fillId="8" borderId="10" xfId="0" quotePrefix="1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 applyAlignment="1" applyProtection="1">
      <alignment horizontal="right" vertical="center"/>
      <protection hidden="1"/>
    </xf>
    <xf numFmtId="10" fontId="25" fillId="0" borderId="0" xfId="2" applyNumberFormat="1" applyFont="1" applyBorder="1" applyAlignment="1" applyProtection="1">
      <alignment horizontal="center"/>
      <protection hidden="1"/>
    </xf>
    <xf numFmtId="2" fontId="32" fillId="0" borderId="0" xfId="0" applyNumberFormat="1" applyFont="1" applyProtection="1">
      <protection hidden="1"/>
    </xf>
    <xf numFmtId="14" fontId="35" fillId="0" borderId="0" xfId="0" applyNumberFormat="1" applyFont="1" applyAlignment="1" applyProtection="1">
      <alignment horizontal="center"/>
      <protection hidden="1"/>
    </xf>
    <xf numFmtId="14" fontId="41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right"/>
      <protection hidden="1"/>
    </xf>
    <xf numFmtId="165" fontId="43" fillId="0" borderId="0" xfId="1" applyFont="1" applyFill="1" applyProtection="1">
      <protection hidden="1"/>
    </xf>
    <xf numFmtId="0" fontId="26" fillId="0" borderId="0" xfId="0" applyFont="1" applyAlignment="1" applyProtection="1">
      <alignment vertical="center"/>
      <protection hidden="1"/>
    </xf>
    <xf numFmtId="164" fontId="26" fillId="0" borderId="0" xfId="10" applyFont="1" applyFill="1" applyAlignment="1" applyProtection="1">
      <alignment vertical="center"/>
      <protection hidden="1"/>
    </xf>
    <xf numFmtId="0" fontId="37" fillId="0" borderId="0" xfId="0" applyFont="1" applyAlignment="1">
      <alignment vertical="center"/>
    </xf>
    <xf numFmtId="0" fontId="38" fillId="0" borderId="0" xfId="0" applyFont="1" applyAlignment="1" applyProtection="1">
      <alignment vertical="center"/>
      <protection hidden="1"/>
    </xf>
    <xf numFmtId="2" fontId="25" fillId="0" borderId="0" xfId="0" applyNumberFormat="1" applyFo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9" fontId="36" fillId="0" borderId="11" xfId="2" applyFont="1" applyFill="1" applyBorder="1" applyAlignment="1" applyProtection="1">
      <alignment horizontal="center"/>
    </xf>
    <xf numFmtId="10" fontId="13" fillId="0" borderId="0" xfId="3" applyNumberFormat="1" applyFont="1" applyAlignment="1">
      <alignment horizontal="center" wrapText="1"/>
    </xf>
    <xf numFmtId="9" fontId="13" fillId="0" borderId="0" xfId="3" applyNumberFormat="1" applyFont="1" applyAlignment="1">
      <alignment horizontal="center" wrapText="1"/>
    </xf>
    <xf numFmtId="9" fontId="13" fillId="0" borderId="0" xfId="3" applyNumberFormat="1" applyFont="1" applyAlignment="1">
      <alignment horizontal="center" vertical="center" wrapText="1"/>
    </xf>
    <xf numFmtId="3" fontId="25" fillId="0" borderId="0" xfId="0" applyNumberFormat="1" applyFont="1" applyProtection="1">
      <protection hidden="1"/>
    </xf>
    <xf numFmtId="0" fontId="36" fillId="0" borderId="0" xfId="0" applyFont="1" applyAlignment="1" applyProtection="1">
      <alignment horizontal="center"/>
      <protection locked="0"/>
    </xf>
    <xf numFmtId="1" fontId="25" fillId="0" borderId="0" xfId="2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center"/>
      <protection hidden="1"/>
    </xf>
    <xf numFmtId="0" fontId="27" fillId="0" borderId="0" xfId="0" applyFont="1" applyAlignment="1">
      <alignment horizontal="center" vertical="center"/>
    </xf>
    <xf numFmtId="9" fontId="13" fillId="10" borderId="1" xfId="3" applyNumberFormat="1" applyFont="1" applyFill="1" applyBorder="1" applyAlignment="1">
      <alignment horizontal="center" wrapText="1"/>
    </xf>
    <xf numFmtId="0" fontId="13" fillId="10" borderId="1" xfId="3" applyFont="1" applyFill="1" applyBorder="1" applyAlignment="1">
      <alignment wrapText="1"/>
    </xf>
    <xf numFmtId="0" fontId="13" fillId="10" borderId="1" xfId="3" applyFont="1" applyFill="1" applyBorder="1" applyAlignment="1">
      <alignment horizontal="center" vertical="center" wrapText="1"/>
    </xf>
    <xf numFmtId="49" fontId="13" fillId="10" borderId="1" xfId="3" applyNumberFormat="1" applyFont="1" applyFill="1" applyBorder="1" applyAlignment="1">
      <alignment horizontal="center" vertical="center" wrapText="1"/>
    </xf>
    <xf numFmtId="0" fontId="13" fillId="10" borderId="1" xfId="3" applyFont="1" applyFill="1" applyBorder="1" applyAlignment="1">
      <alignment horizontal="left" wrapText="1"/>
    </xf>
    <xf numFmtId="17" fontId="15" fillId="10" borderId="1" xfId="0" applyNumberFormat="1" applyFont="1" applyFill="1" applyBorder="1" applyAlignment="1">
      <alignment wrapText="1"/>
    </xf>
    <xf numFmtId="14" fontId="13" fillId="10" borderId="1" xfId="3" applyNumberFormat="1" applyFont="1" applyFill="1" applyBorder="1" applyAlignment="1">
      <alignment horizontal="center" wrapText="1"/>
    </xf>
    <xf numFmtId="174" fontId="13" fillId="10" borderId="1" xfId="4" applyFont="1" applyFill="1" applyBorder="1" applyAlignment="1">
      <alignment horizontal="center" wrapText="1"/>
    </xf>
    <xf numFmtId="177" fontId="13" fillId="10" borderId="1" xfId="3" applyNumberFormat="1" applyFont="1" applyFill="1" applyBorder="1" applyAlignment="1">
      <alignment horizontal="center" wrapText="1"/>
    </xf>
    <xf numFmtId="0" fontId="13" fillId="10" borderId="1" xfId="3" applyFont="1" applyFill="1" applyBorder="1" applyAlignment="1">
      <alignment horizontal="center" wrapText="1"/>
    </xf>
    <xf numFmtId="0" fontId="0" fillId="10" borderId="1" xfId="0" applyFill="1" applyBorder="1"/>
    <xf numFmtId="0" fontId="13" fillId="10" borderId="1" xfId="3" applyFont="1" applyFill="1" applyBorder="1" applyAlignment="1">
      <alignment horizontal="left" vertical="center" wrapText="1"/>
    </xf>
    <xf numFmtId="175" fontId="13" fillId="10" borderId="1" xfId="3" applyNumberFormat="1" applyFont="1" applyFill="1" applyBorder="1" applyAlignment="1">
      <alignment horizontal="center" wrapText="1"/>
    </xf>
    <xf numFmtId="0" fontId="0" fillId="10" borderId="1" xfId="0" applyFill="1" applyBorder="1" applyAlignment="1">
      <alignment wrapText="1"/>
    </xf>
    <xf numFmtId="17" fontId="0" fillId="10" borderId="1" xfId="0" applyNumberFormat="1" applyFill="1" applyBorder="1"/>
    <xf numFmtId="10" fontId="0" fillId="10" borderId="1" xfId="0" applyNumberFormat="1" applyFill="1" applyBorder="1"/>
    <xf numFmtId="0" fontId="0" fillId="10" borderId="0" xfId="0" applyFill="1"/>
    <xf numFmtId="0" fontId="13" fillId="0" borderId="1" xfId="3" applyFont="1" applyBorder="1" applyAlignment="1">
      <alignment horizontal="left" vertical="top" wrapText="1"/>
    </xf>
    <xf numFmtId="10" fontId="0" fillId="0" borderId="1" xfId="0" applyNumberFormat="1" applyBorder="1" applyAlignment="1">
      <alignment vertical="center"/>
    </xf>
    <xf numFmtId="10" fontId="6" fillId="6" borderId="7" xfId="2" applyNumberFormat="1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65" fontId="2" fillId="0" borderId="0" xfId="1" applyFont="1" applyAlignment="1" applyProtection="1">
      <alignment horizontal="center"/>
      <protection hidden="1"/>
    </xf>
    <xf numFmtId="165" fontId="2" fillId="0" borderId="2" xfId="1" applyFont="1" applyBorder="1" applyAlignment="1" applyProtection="1">
      <alignment horizontal="center"/>
      <protection hidden="1"/>
    </xf>
    <xf numFmtId="165" fontId="2" fillId="0" borderId="0" xfId="1" applyFont="1" applyAlignment="1" applyProtection="1">
      <alignment horizontal="center"/>
    </xf>
    <xf numFmtId="170" fontId="2" fillId="0" borderId="0" xfId="2" applyNumberFormat="1" applyFont="1" applyAlignment="1" applyProtection="1">
      <alignment horizontal="center"/>
    </xf>
    <xf numFmtId="165" fontId="4" fillId="0" borderId="0" xfId="1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horizontal="center"/>
      <protection hidden="1"/>
    </xf>
    <xf numFmtId="2" fontId="2" fillId="0" borderId="0" xfId="0" applyNumberFormat="1" applyFont="1" applyAlignment="1">
      <alignment horizontal="center"/>
    </xf>
    <xf numFmtId="165" fontId="3" fillId="0" borderId="0" xfId="1" applyFont="1" applyFill="1" applyAlignment="1" applyProtection="1">
      <alignment vertical="center" wrapText="1"/>
      <protection hidden="1"/>
    </xf>
    <xf numFmtId="165" fontId="2" fillId="0" borderId="0" xfId="1" applyFont="1" applyAlignment="1" applyProtection="1">
      <protection hidden="1"/>
    </xf>
    <xf numFmtId="165" fontId="2" fillId="0" borderId="0" xfId="1" applyFont="1" applyAlignment="1" applyProtection="1"/>
    <xf numFmtId="0" fontId="39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Protection="1">
      <protection hidden="1"/>
    </xf>
    <xf numFmtId="0" fontId="39" fillId="0" borderId="0" xfId="0" applyFont="1" applyAlignment="1" applyProtection="1">
      <alignment horizontal="center"/>
      <protection hidden="1"/>
    </xf>
    <xf numFmtId="165" fontId="39" fillId="0" borderId="0" xfId="1" applyFont="1" applyProtection="1"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2" fontId="2" fillId="0" borderId="2" xfId="0" applyNumberFormat="1" applyFont="1" applyBorder="1" applyAlignment="1" applyProtection="1">
      <alignment horizontal="center"/>
      <protection hidden="1"/>
    </xf>
    <xf numFmtId="2" fontId="2" fillId="6" borderId="8" xfId="0" applyNumberFormat="1" applyFont="1" applyFill="1" applyBorder="1" applyProtection="1">
      <protection locked="0"/>
    </xf>
    <xf numFmtId="3" fontId="3" fillId="3" borderId="8" xfId="0" applyNumberFormat="1" applyFont="1" applyFill="1" applyBorder="1" applyProtection="1">
      <protection hidden="1"/>
    </xf>
    <xf numFmtId="3" fontId="7" fillId="4" borderId="0" xfId="0" applyNumberFormat="1" applyFont="1" applyFill="1"/>
    <xf numFmtId="179" fontId="2" fillId="3" borderId="8" xfId="0" applyNumberFormat="1" applyFont="1" applyFill="1" applyBorder="1" applyProtection="1">
      <protection hidden="1"/>
    </xf>
    <xf numFmtId="2" fontId="2" fillId="0" borderId="2" xfId="0" applyNumberFormat="1" applyFont="1" applyBorder="1" applyProtection="1">
      <protection hidden="1"/>
    </xf>
    <xf numFmtId="0" fontId="2" fillId="6" borderId="0" xfId="0" applyFont="1" applyFill="1" applyProtection="1">
      <protection locked="0"/>
    </xf>
    <xf numFmtId="14" fontId="6" fillId="6" borderId="0" xfId="0" applyNumberFormat="1" applyFont="1" applyFill="1" applyProtection="1">
      <protection locked="0" hidden="1"/>
    </xf>
    <xf numFmtId="0" fontId="47" fillId="0" borderId="0" xfId="0" applyFont="1" applyProtection="1">
      <protection hidden="1"/>
    </xf>
    <xf numFmtId="0" fontId="46" fillId="0" borderId="1" xfId="0" applyFont="1" applyBorder="1"/>
    <xf numFmtId="4" fontId="25" fillId="0" borderId="0" xfId="0" applyNumberFormat="1" applyFont="1" applyProtection="1">
      <protection hidden="1"/>
    </xf>
    <xf numFmtId="0" fontId="48" fillId="0" borderId="0" xfId="0" applyFont="1" applyAlignment="1" applyProtection="1">
      <alignment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15" fillId="0" borderId="1" xfId="0" applyFont="1" applyBorder="1" applyAlignment="1">
      <alignment wrapText="1"/>
    </xf>
    <xf numFmtId="0" fontId="51" fillId="0" borderId="0" xfId="0" applyFont="1"/>
    <xf numFmtId="4" fontId="16" fillId="0" borderId="0" xfId="0" applyNumberFormat="1" applyFont="1" applyProtection="1">
      <protection hidden="1"/>
    </xf>
    <xf numFmtId="0" fontId="2" fillId="0" borderId="0" xfId="0" applyFont="1" applyBorder="1" applyAlignment="1">
      <alignment horizontal="center"/>
    </xf>
    <xf numFmtId="0" fontId="53" fillId="0" borderId="21" xfId="0" applyFont="1" applyBorder="1"/>
    <xf numFmtId="2" fontId="53" fillId="0" borderId="21" xfId="0" applyNumberFormat="1" applyFont="1" applyBorder="1" applyProtection="1">
      <protection hidden="1"/>
    </xf>
    <xf numFmtId="3" fontId="49" fillId="8" borderId="1" xfId="0" applyNumberFormat="1" applyFont="1" applyFill="1" applyBorder="1" applyAlignment="1" applyProtection="1">
      <alignment horizontal="center"/>
      <protection locked="0"/>
    </xf>
    <xf numFmtId="14" fontId="50" fillId="8" borderId="1" xfId="0" applyNumberFormat="1" applyFont="1" applyFill="1" applyBorder="1" applyAlignment="1" applyProtection="1">
      <alignment horizontal="center"/>
      <protection locked="0"/>
    </xf>
    <xf numFmtId="14" fontId="52" fillId="0" borderId="1" xfId="0" applyNumberFormat="1" applyFont="1" applyBorder="1" applyAlignment="1" applyProtection="1">
      <alignment horizontal="center"/>
      <protection hidden="1"/>
    </xf>
    <xf numFmtId="165" fontId="3" fillId="3" borderId="7" xfId="0" applyNumberFormat="1" applyFont="1" applyFill="1" applyBorder="1" applyAlignment="1" applyProtection="1">
      <protection hidden="1"/>
    </xf>
    <xf numFmtId="0" fontId="2" fillId="0" borderId="0" xfId="0" applyFont="1" applyBorder="1"/>
    <xf numFmtId="0" fontId="2" fillId="6" borderId="20" xfId="0" applyFont="1" applyFill="1" applyBorder="1" applyAlignment="1" applyProtection="1">
      <alignment horizontal="center"/>
      <protection locked="0"/>
    </xf>
    <xf numFmtId="0" fontId="2" fillId="6" borderId="22" xfId="0" applyFont="1" applyFill="1" applyBorder="1" applyAlignment="1" applyProtection="1">
      <alignment horizontal="center"/>
      <protection locked="0"/>
    </xf>
    <xf numFmtId="165" fontId="6" fillId="6" borderId="20" xfId="1" applyFont="1" applyFill="1" applyBorder="1" applyAlignment="1" applyProtection="1">
      <alignment horizontal="center"/>
      <protection locked="0"/>
    </xf>
    <xf numFmtId="10" fontId="3" fillId="3" borderId="7" xfId="0" applyNumberFormat="1" applyFont="1" applyFill="1" applyBorder="1" applyAlignment="1" applyProtection="1">
      <alignment horizontal="center"/>
      <protection hidden="1"/>
    </xf>
    <xf numFmtId="0" fontId="3" fillId="3" borderId="20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wrapText="1"/>
      <protection hidden="1"/>
    </xf>
    <xf numFmtId="0" fontId="21" fillId="8" borderId="14" xfId="0" applyFont="1" applyFill="1" applyBorder="1" applyAlignment="1" applyProtection="1">
      <alignment horizontal="center"/>
      <protection locked="0"/>
    </xf>
    <xf numFmtId="0" fontId="21" fillId="8" borderId="18" xfId="0" applyFont="1" applyFill="1" applyBorder="1" applyAlignment="1" applyProtection="1">
      <alignment horizontal="center"/>
      <protection locked="0"/>
    </xf>
    <xf numFmtId="0" fontId="21" fillId="8" borderId="19" xfId="0" applyFont="1" applyFill="1" applyBorder="1" applyAlignment="1" applyProtection="1">
      <alignment horizontal="center"/>
      <protection locked="0"/>
    </xf>
    <xf numFmtId="0" fontId="45" fillId="7" borderId="20" xfId="0" applyFont="1" applyFill="1" applyBorder="1" applyAlignment="1" applyProtection="1">
      <alignment horizontal="center" vertical="center" wrapText="1"/>
      <protection hidden="1"/>
    </xf>
    <xf numFmtId="0" fontId="45" fillId="0" borderId="12" xfId="0" applyFont="1" applyBorder="1" applyAlignment="1" applyProtection="1">
      <alignment horizontal="center" vertical="center"/>
      <protection locked="0"/>
    </xf>
    <xf numFmtId="0" fontId="45" fillId="0" borderId="15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left" vertical="center" wrapText="1"/>
      <protection hidden="1"/>
    </xf>
    <xf numFmtId="0" fontId="28" fillId="0" borderId="0" xfId="0" applyFont="1" applyAlignment="1" applyProtection="1">
      <alignment horizontal="left" vertical="center" wrapText="1"/>
      <protection hidden="1"/>
    </xf>
    <xf numFmtId="0" fontId="44" fillId="0" borderId="12" xfId="0" applyFont="1" applyBorder="1" applyAlignment="1" applyProtection="1">
      <alignment horizontal="center"/>
      <protection locked="0"/>
    </xf>
    <xf numFmtId="0" fontId="44" fillId="0" borderId="17" xfId="0" applyFont="1" applyBorder="1" applyAlignment="1" applyProtection="1">
      <alignment horizontal="center"/>
      <protection locked="0"/>
    </xf>
    <xf numFmtId="0" fontId="5" fillId="0" borderId="0" xfId="0" quotePrefix="1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2" fillId="6" borderId="20" xfId="0" applyFont="1" applyFill="1" applyBorder="1" applyAlignment="1" applyProtection="1">
      <alignment horizontal="center"/>
      <protection locked="0"/>
    </xf>
    <xf numFmtId="0" fontId="5" fillId="0" borderId="0" xfId="0" quotePrefix="1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54" fillId="11" borderId="20" xfId="0" applyFont="1" applyFill="1" applyBorder="1" applyAlignment="1" applyProtection="1">
      <alignment horizontal="center" vertical="center"/>
      <protection locked="0"/>
    </xf>
  </cellXfs>
  <cellStyles count="11">
    <cellStyle name="Diseño" xfId="5"/>
    <cellStyle name="Diseño 2" xfId="6"/>
    <cellStyle name="Millares" xfId="1" builtinId="3"/>
    <cellStyle name="Moneda" xfId="10" builtinId="4"/>
    <cellStyle name="Moneda 2" xfId="4"/>
    <cellStyle name="Normal" xfId="0" builtinId="0"/>
    <cellStyle name="Normal 2" xfId="3"/>
    <cellStyle name="Normal 2 2" xfId="7"/>
    <cellStyle name="Normal 2 2 2" xfId="8"/>
    <cellStyle name="Normal 3" xfId="9"/>
    <cellStyle name="Porcentaje" xfId="2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67470</xdr:colOff>
      <xdr:row>31</xdr:row>
      <xdr:rowOff>59531</xdr:rowOff>
    </xdr:from>
    <xdr:to>
      <xdr:col>5</xdr:col>
      <xdr:colOff>388938</xdr:colOff>
      <xdr:row>41</xdr:row>
      <xdr:rowOff>47626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61158" y="5591969"/>
          <a:ext cx="7012780" cy="2242345"/>
        </a:xfrm>
        <a:prstGeom prst="roundRect">
          <a:avLst/>
        </a:prstGeom>
        <a:noFill/>
        <a:ln>
          <a:solidFill>
            <a:schemeClr val="accent1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11</xdr:row>
      <xdr:rowOff>85725</xdr:rowOff>
    </xdr:from>
    <xdr:to>
      <xdr:col>17</xdr:col>
      <xdr:colOff>742950</xdr:colOff>
      <xdr:row>13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3350" y="1609725"/>
          <a:ext cx="8943975" cy="276225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4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CRONOGRAMA DE PAGO PRELIMINAR "PRÉSTAMO</a:t>
          </a:r>
          <a:r>
            <a:rPr lang="es-ES" sz="14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POR CONVENIO"</a:t>
          </a:r>
        </a:p>
      </xdr:txBody>
    </xdr:sp>
    <xdr:clientData/>
  </xdr:twoCellAnchor>
  <xdr:twoCellAnchor>
    <xdr:from>
      <xdr:col>1</xdr:col>
      <xdr:colOff>57150</xdr:colOff>
      <xdr:row>14</xdr:row>
      <xdr:rowOff>95250</xdr:rowOff>
    </xdr:from>
    <xdr:to>
      <xdr:col>16</xdr:col>
      <xdr:colOff>838200</xdr:colOff>
      <xdr:row>14</xdr:row>
      <xdr:rowOff>96838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7150" y="2628900"/>
          <a:ext cx="824865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050" name="Rectangle 2" hidden="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048" name="AutoShape 2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049" name="AutoShape 2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051" name="AutoShape 2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052" name="AutoShape 2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053" name="AutoShape 2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054" name="AutoShape 2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055" name="AutoShape 2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2056" name="AutoShape 2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419100</xdr:colOff>
      <xdr:row>114</xdr:row>
      <xdr:rowOff>0</xdr:rowOff>
    </xdr:to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334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57" name="AutoShape 2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58" name="AutoShape 2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59" name="AutoShape 2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60" name="AutoShape 2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61" name="AutoShape 2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62" name="AutoShape 2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63" name="AutoShape 2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64" name="AutoShape 2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65" name="AutoShape 2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66" name="AutoShape 2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67" name="AutoShape 2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68" name="AutoShape 2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69" name="AutoShape 2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70" name="AutoShape 2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71" name="AutoShape 2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72" name="AutoShape 2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73" name="AutoShape 2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74" name="AutoShape 2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75" name="AutoShape 2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76" name="AutoShape 2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77" name="AutoShape 2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88900</xdr:colOff>
      <xdr:row>115</xdr:row>
      <xdr:rowOff>127000</xdr:rowOff>
    </xdr:to>
    <xdr:sp macro="" textlink="">
      <xdr:nvSpPr>
        <xdr:cNvPr id="2078" name="AutoShape 2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79" name="AutoShape 2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88900</xdr:colOff>
      <xdr:row>115</xdr:row>
      <xdr:rowOff>127000</xdr:rowOff>
    </xdr:to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88900</xdr:colOff>
      <xdr:row>115</xdr:row>
      <xdr:rowOff>127000</xdr:rowOff>
    </xdr:to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88900</xdr:colOff>
      <xdr:row>115</xdr:row>
      <xdr:rowOff>127000</xdr:rowOff>
    </xdr:to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88900</xdr:colOff>
      <xdr:row>115</xdr:row>
      <xdr:rowOff>127000</xdr:rowOff>
    </xdr:to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88900</xdr:colOff>
      <xdr:row>115</xdr:row>
      <xdr:rowOff>127000</xdr:rowOff>
    </xdr:to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80" name="AutoShape 2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81" name="AutoShape 2"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82" name="AutoShape 2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83" name="AutoShape 2"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84" name="AutoShape 2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85" name="AutoShape 2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86" name="AutoShape 2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87" name="AutoShape 2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88" name="AutoShape 2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88900</xdr:colOff>
      <xdr:row>115</xdr:row>
      <xdr:rowOff>127000</xdr:rowOff>
    </xdr:to>
    <xdr:sp macro="" textlink="">
      <xdr:nvSpPr>
        <xdr:cNvPr id="2089" name="AutoShape 2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88900</xdr:colOff>
      <xdr:row>115</xdr:row>
      <xdr:rowOff>127000</xdr:rowOff>
    </xdr:to>
    <xdr:sp macro="" textlink="">
      <xdr:nvSpPr>
        <xdr:cNvPr id="2090" name="AutoShape 2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91" name="AutoShape 2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92" name="AutoShape 2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93" name="AutoShape 2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88900</xdr:colOff>
      <xdr:row>115</xdr:row>
      <xdr:rowOff>127000</xdr:rowOff>
    </xdr:to>
    <xdr:sp macro="" textlink="">
      <xdr:nvSpPr>
        <xdr:cNvPr id="2094" name="AutoShape 2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88900</xdr:colOff>
      <xdr:row>115</xdr:row>
      <xdr:rowOff>127000</xdr:rowOff>
    </xdr:to>
    <xdr:sp macro="" textlink="">
      <xdr:nvSpPr>
        <xdr:cNvPr id="2095" name="AutoShape 2">
          <a:extLst>
            <a:ext uri="{FF2B5EF4-FFF2-40B4-BE49-F238E27FC236}">
              <a16:creationId xmlns:a16="http://schemas.microsoft.com/office/drawing/2014/main" id="{00000000-0008-0000-0100-00002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96" name="AutoShape 2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097" name="AutoShape 2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88900</xdr:colOff>
      <xdr:row>115</xdr:row>
      <xdr:rowOff>127000</xdr:rowOff>
    </xdr:to>
    <xdr:sp macro="" textlink="">
      <xdr:nvSpPr>
        <xdr:cNvPr id="2098" name="AutoShape 2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469900</xdr:colOff>
      <xdr:row>115</xdr:row>
      <xdr:rowOff>114300</xdr:rowOff>
    </xdr:to>
    <xdr:sp macro="" textlink="">
      <xdr:nvSpPr>
        <xdr:cNvPr id="2099" name="AutoShape 2">
          <a:extLst>
            <a:ext uri="{FF2B5EF4-FFF2-40B4-BE49-F238E27FC236}">
              <a16:creationId xmlns:a16="http://schemas.microsoft.com/office/drawing/2014/main" id="{00000000-0008-0000-0100-00003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88900</xdr:colOff>
      <xdr:row>115</xdr:row>
      <xdr:rowOff>127000</xdr:rowOff>
    </xdr:to>
    <xdr:sp macro="" textlink="">
      <xdr:nvSpPr>
        <xdr:cNvPr id="2100" name="AutoShape 2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101" name="AutoShape 2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419100</xdr:colOff>
      <xdr:row>114</xdr:row>
      <xdr:rowOff>0</xdr:rowOff>
    </xdr:to>
    <xdr:sp macro="" textlink="">
      <xdr:nvSpPr>
        <xdr:cNvPr id="2102" name="AutoShape 2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88900</xdr:colOff>
      <xdr:row>115</xdr:row>
      <xdr:rowOff>127000</xdr:rowOff>
    </xdr:to>
    <xdr:sp macro="" textlink="">
      <xdr:nvSpPr>
        <xdr:cNvPr id="2103" name="AutoShape 2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88900</xdr:colOff>
      <xdr:row>115</xdr:row>
      <xdr:rowOff>127000</xdr:rowOff>
    </xdr:to>
    <xdr:sp macro="" textlink="">
      <xdr:nvSpPr>
        <xdr:cNvPr id="2104" name="AutoShape 2">
          <a:extLst>
            <a:ext uri="{FF2B5EF4-FFF2-40B4-BE49-F238E27FC236}">
              <a16:creationId xmlns:a16="http://schemas.microsoft.com/office/drawing/2014/main" id="{00000000-0008-0000-0100-00003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469900</xdr:colOff>
      <xdr:row>115</xdr:row>
      <xdr:rowOff>114300</xdr:rowOff>
    </xdr:to>
    <xdr:sp macro="" textlink="">
      <xdr:nvSpPr>
        <xdr:cNvPr id="2105" name="AutoShape 2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06" name="AutoShape 2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428625</xdr:colOff>
      <xdr:row>114</xdr:row>
      <xdr:rowOff>0</xdr:rowOff>
    </xdr:to>
    <xdr:sp macro="" textlink="">
      <xdr:nvSpPr>
        <xdr:cNvPr id="2107" name="AutoShape 2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428625</xdr:colOff>
      <xdr:row>114</xdr:row>
      <xdr:rowOff>0</xdr:rowOff>
    </xdr:to>
    <xdr:sp macro="" textlink="">
      <xdr:nvSpPr>
        <xdr:cNvPr id="2108" name="AutoShape 2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09" name="AutoShape 2">
          <a:extLst>
            <a:ext uri="{FF2B5EF4-FFF2-40B4-BE49-F238E27FC236}">
              <a16:creationId xmlns:a16="http://schemas.microsoft.com/office/drawing/2014/main" id="{00000000-0008-0000-0100-00003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428625</xdr:colOff>
      <xdr:row>114</xdr:row>
      <xdr:rowOff>0</xdr:rowOff>
    </xdr:to>
    <xdr:sp macro="" textlink="">
      <xdr:nvSpPr>
        <xdr:cNvPr id="2110" name="AutoShape 2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11" name="AutoShape 2">
          <a:extLst>
            <a:ext uri="{FF2B5EF4-FFF2-40B4-BE49-F238E27FC236}">
              <a16:creationId xmlns:a16="http://schemas.microsoft.com/office/drawing/2014/main" id="{00000000-0008-0000-0100-00003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428625</xdr:colOff>
      <xdr:row>114</xdr:row>
      <xdr:rowOff>0</xdr:rowOff>
    </xdr:to>
    <xdr:sp macro="" textlink="">
      <xdr:nvSpPr>
        <xdr:cNvPr id="2112" name="AutoShape 2">
          <a:extLs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13" name="AutoShape 2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116</xdr:row>
      <xdr:rowOff>68580</xdr:rowOff>
    </xdr:to>
    <xdr:sp macro="" textlink="">
      <xdr:nvSpPr>
        <xdr:cNvPr id="2114" name="AutoShape 2">
          <a:extLs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6640" cy="97002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15" name="AutoShape 2">
          <a:extLst>
            <a:ext uri="{FF2B5EF4-FFF2-40B4-BE49-F238E27FC236}">
              <a16:creationId xmlns:a16="http://schemas.microsoft.com/office/drawing/2014/main" id="{00000000-0008-0000-0100-00004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16" name="AutoShape 2">
          <a:extLst>
            <a:ext uri="{FF2B5EF4-FFF2-40B4-BE49-F238E27FC236}">
              <a16:creationId xmlns:a16="http://schemas.microsoft.com/office/drawing/2014/main" id="{00000000-0008-0000-0100-00004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17" name="AutoShape 2">
          <a:extLst>
            <a:ext uri="{FF2B5EF4-FFF2-40B4-BE49-F238E27FC236}">
              <a16:creationId xmlns:a16="http://schemas.microsoft.com/office/drawing/2014/main" id="{00000000-0008-0000-0100-00004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18" name="AutoShape 2">
          <a:extLst>
            <a:ext uri="{FF2B5EF4-FFF2-40B4-BE49-F238E27FC236}">
              <a16:creationId xmlns:a16="http://schemas.microsoft.com/office/drawing/2014/main" id="{00000000-0008-0000-0100-00004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116</xdr:row>
      <xdr:rowOff>68580</xdr:rowOff>
    </xdr:to>
    <xdr:sp macro="" textlink="">
      <xdr:nvSpPr>
        <xdr:cNvPr id="2119" name="AutoShape 2">
          <a:extLst>
            <a:ext uri="{FF2B5EF4-FFF2-40B4-BE49-F238E27FC236}">
              <a16:creationId xmlns:a16="http://schemas.microsoft.com/office/drawing/2014/main" id="{00000000-0008-0000-0100-00004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6640" cy="97002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116</xdr:row>
      <xdr:rowOff>68580</xdr:rowOff>
    </xdr:to>
    <xdr:sp macro="" textlink="">
      <xdr:nvSpPr>
        <xdr:cNvPr id="2120" name="AutoShape 2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6640" cy="97002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21" name="AutoShape 2">
          <a:extLst>
            <a:ext uri="{FF2B5EF4-FFF2-40B4-BE49-F238E27FC236}">
              <a16:creationId xmlns:a16="http://schemas.microsoft.com/office/drawing/2014/main" id="{00000000-0008-0000-0100-00004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428625</xdr:colOff>
      <xdr:row>114</xdr:row>
      <xdr:rowOff>0</xdr:rowOff>
    </xdr:to>
    <xdr:sp macro="" textlink="">
      <xdr:nvSpPr>
        <xdr:cNvPr id="2122" name="AutoShape 2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23" name="AutoShape 2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116</xdr:row>
      <xdr:rowOff>68580</xdr:rowOff>
    </xdr:to>
    <xdr:sp macro="" textlink="">
      <xdr:nvSpPr>
        <xdr:cNvPr id="2124" name="AutoShape 2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6640" cy="97002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25" name="AutoShape 2">
          <a:extLst>
            <a:ext uri="{FF2B5EF4-FFF2-40B4-BE49-F238E27FC236}">
              <a16:creationId xmlns:a16="http://schemas.microsoft.com/office/drawing/2014/main" id="{00000000-0008-0000-0100-00004D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26" name="AutoShape 2">
          <a:extLs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27" name="AutoShape 2">
          <a:extLs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28" name="AutoShape 2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29" name="AutoShape 2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30" name="AutoShape 2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31" name="AutoShape 2">
          <a:extLs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32" name="AutoShape 2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33" name="AutoShape 2">
          <a:extLst>
            <a:ext uri="{FF2B5EF4-FFF2-40B4-BE49-F238E27FC236}">
              <a16:creationId xmlns:a16="http://schemas.microsoft.com/office/drawing/2014/main" id="{00000000-0008-0000-0100-000055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428625</xdr:colOff>
      <xdr:row>114</xdr:row>
      <xdr:rowOff>0</xdr:rowOff>
    </xdr:to>
    <xdr:sp macro="" textlink="">
      <xdr:nvSpPr>
        <xdr:cNvPr id="2134" name="AutoShape 2">
          <a:extLs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0925" cy="9705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35" name="AutoShape 2">
          <a:extLst>
            <a:ext uri="{FF2B5EF4-FFF2-40B4-BE49-F238E27FC236}">
              <a16:creationId xmlns:a16="http://schemas.microsoft.com/office/drawing/2014/main" id="{00000000-0008-0000-0100-000057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36" name="AutoShape 2">
          <a:extLst>
            <a:ext uri="{FF2B5EF4-FFF2-40B4-BE49-F238E27FC236}">
              <a16:creationId xmlns:a16="http://schemas.microsoft.com/office/drawing/2014/main" id="{00000000-0008-0000-0100-000058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469900</xdr:colOff>
      <xdr:row>115</xdr:row>
      <xdr:rowOff>114300</xdr:rowOff>
    </xdr:to>
    <xdr:sp macro="" textlink="">
      <xdr:nvSpPr>
        <xdr:cNvPr id="2137" name="AutoShape 2">
          <a:extLst>
            <a:ext uri="{FF2B5EF4-FFF2-40B4-BE49-F238E27FC236}">
              <a16:creationId xmlns:a16="http://schemas.microsoft.com/office/drawing/2014/main" id="{00000000-0008-0000-0100-000059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38" name="AutoShape 2"/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39" name="AutoShape 2"/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40" name="AutoShape 2"/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41" name="AutoShape 2"/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42" name="AutoShape 2"/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43" name="AutoShape 2"/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44" name="AutoShape 2"/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45" name="AutoShape 2"/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46" name="AutoShape 2"/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47" name="AutoShape 2"/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48" name="AutoShape 2"/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116</xdr:row>
      <xdr:rowOff>68580</xdr:rowOff>
    </xdr:to>
    <xdr:sp macro="" textlink="">
      <xdr:nvSpPr>
        <xdr:cNvPr id="2149" name="AutoShape 2"/>
        <xdr:cNvSpPr>
          <a:spLocks noChangeArrowheads="1"/>
        </xdr:cNvSpPr>
      </xdr:nvSpPr>
      <xdr:spPr bwMode="auto">
        <a:xfrm>
          <a:off x="0" y="0"/>
          <a:ext cx="7406640" cy="97002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50" name="AutoShape 2"/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51" name="AutoShape 2"/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95250</xdr:colOff>
      <xdr:row>115</xdr:row>
      <xdr:rowOff>127000</xdr:rowOff>
    </xdr:to>
    <xdr:sp macro="" textlink="">
      <xdr:nvSpPr>
        <xdr:cNvPr id="2152" name="AutoShape 2"/>
        <xdr:cNvSpPr>
          <a:spLocks noChangeArrowheads="1"/>
        </xdr:cNvSpPr>
      </xdr:nvSpPr>
      <xdr:spPr bwMode="auto">
        <a:xfrm>
          <a:off x="0" y="0"/>
          <a:ext cx="7404100" cy="9702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116</xdr:row>
      <xdr:rowOff>68580</xdr:rowOff>
    </xdr:to>
    <xdr:sp macro="" textlink="">
      <xdr:nvSpPr>
        <xdr:cNvPr id="2153" name="AutoShape 2"/>
        <xdr:cNvSpPr>
          <a:spLocks noChangeArrowheads="1"/>
        </xdr:cNvSpPr>
      </xdr:nvSpPr>
      <xdr:spPr bwMode="auto">
        <a:xfrm>
          <a:off x="0" y="0"/>
          <a:ext cx="7406640" cy="97002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114</xdr:row>
      <xdr:rowOff>68580</xdr:rowOff>
    </xdr:to>
    <xdr:sp macro="" textlink="">
      <xdr:nvSpPr>
        <xdr:cNvPr id="2154" name="AutoShape 2"/>
        <xdr:cNvSpPr>
          <a:spLocks noChangeArrowheads="1"/>
        </xdr:cNvSpPr>
      </xdr:nvSpPr>
      <xdr:spPr bwMode="auto">
        <a:xfrm>
          <a:off x="0" y="0"/>
          <a:ext cx="7406640" cy="972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236220</xdr:colOff>
      <xdr:row>114</xdr:row>
      <xdr:rowOff>68580</xdr:rowOff>
    </xdr:to>
    <xdr:sp macro="" textlink="">
      <xdr:nvSpPr>
        <xdr:cNvPr id="2155" name="AutoShape 2"/>
        <xdr:cNvSpPr>
          <a:spLocks noChangeArrowheads="1"/>
        </xdr:cNvSpPr>
      </xdr:nvSpPr>
      <xdr:spPr bwMode="auto">
        <a:xfrm>
          <a:off x="0" y="0"/>
          <a:ext cx="7406640" cy="9723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013952/AppData/Local/Temp/EVERIS%20-SIMULADOR%20CUO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dora"/>
      <sheetName val="Preliminar"/>
      <sheetName val="BD"/>
      <sheetName val="General"/>
      <sheetName val="Cronograma"/>
      <sheetName val="Global"/>
      <sheetName val="Essalud"/>
      <sheetName val="Cronog. EsSalud"/>
      <sheetName val="Ejemplo Boleta"/>
      <sheetName val="Global EsSalud"/>
      <sheetName val="Matriz Bco"/>
      <sheetName val="TABLA FFAA"/>
    </sheetNames>
    <sheetDataSet>
      <sheetData sheetId="0"/>
      <sheetData sheetId="1"/>
      <sheetData sheetId="2">
        <row r="5">
          <cell r="B5" t="str">
            <v>MARINA DE GUERRA</v>
          </cell>
        </row>
        <row r="6">
          <cell r="B6" t="str">
            <v>PODER JUDICIAL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D85"/>
  <sheetViews>
    <sheetView showGridLines="0" topLeftCell="B24" zoomScale="80" zoomScaleNormal="80" workbookViewId="0">
      <selection activeCell="G42" sqref="G42"/>
    </sheetView>
  </sheetViews>
  <sheetFormatPr baseColWidth="10" defaultColWidth="11.44140625" defaultRowHeight="4.5" customHeight="1" x14ac:dyDescent="0.3"/>
  <cols>
    <col min="1" max="2" width="4.44140625" style="96" customWidth="1"/>
    <col min="3" max="3" width="18.44140625" customWidth="1"/>
    <col min="4" max="4" width="34.44140625" customWidth="1"/>
    <col min="5" max="5" width="43.21875" customWidth="1"/>
    <col min="6" max="6" width="24.77734375" bestFit="1" customWidth="1"/>
    <col min="7" max="7" width="25.21875" customWidth="1"/>
    <col min="8" max="8" width="16.77734375" customWidth="1"/>
    <col min="9" max="9" width="16.44140625" customWidth="1"/>
    <col min="10" max="10" width="12" style="96" customWidth="1"/>
    <col min="11" max="11" width="8.21875" style="205" bestFit="1" customWidth="1"/>
    <col min="12" max="12" width="2.44140625" style="96" bestFit="1" customWidth="1"/>
    <col min="13" max="29" width="11.44140625" style="96"/>
    <col min="30" max="30" width="11.44140625" style="135"/>
    <col min="31" max="16384" width="11.44140625" style="96"/>
  </cols>
  <sheetData>
    <row r="1" spans="3:30" ht="14.4" x14ac:dyDescent="0.3"/>
    <row r="2" spans="3:30" ht="14.4" hidden="1" x14ac:dyDescent="0.3"/>
    <row r="3" spans="3:30" ht="6" hidden="1" customHeight="1" x14ac:dyDescent="0.3"/>
    <row r="4" spans="3:30" ht="9" customHeight="1" x14ac:dyDescent="0.3"/>
    <row r="5" spans="3:30" ht="20.25" customHeight="1" x14ac:dyDescent="0.35">
      <c r="C5" s="54"/>
      <c r="D5" s="54"/>
      <c r="E5" s="52"/>
      <c r="F5" s="54"/>
      <c r="G5" s="55"/>
      <c r="H5" s="54"/>
      <c r="J5" s="134"/>
    </row>
    <row r="6" spans="3:30" ht="30" customHeight="1" x14ac:dyDescent="0.3">
      <c r="F6" s="6"/>
      <c r="G6" s="5"/>
      <c r="J6" s="133"/>
    </row>
    <row r="7" spans="3:30" ht="30" customHeight="1" x14ac:dyDescent="0.3">
      <c r="G7" s="5"/>
      <c r="J7" s="133"/>
    </row>
    <row r="8" spans="3:30" ht="15.6" x14ac:dyDescent="0.3">
      <c r="C8" s="150" t="s">
        <v>205</v>
      </c>
      <c r="D8" s="280"/>
      <c r="E8" s="281"/>
      <c r="F8" s="282"/>
      <c r="G8" s="5"/>
      <c r="J8" s="133"/>
    </row>
    <row r="9" spans="3:30" ht="17.25" customHeight="1" x14ac:dyDescent="0.3">
      <c r="C9" s="150" t="s">
        <v>206</v>
      </c>
      <c r="D9" s="148"/>
      <c r="F9" s="6"/>
      <c r="G9" s="5"/>
      <c r="J9" s="133"/>
    </row>
    <row r="10" spans="3:30" ht="9" customHeight="1" thickBot="1" x14ac:dyDescent="0.35">
      <c r="C10" s="90"/>
      <c r="F10" s="6"/>
      <c r="G10" s="5"/>
      <c r="J10" s="133"/>
    </row>
    <row r="11" spans="3:30" s="98" customFormat="1" ht="18" customHeight="1" thickBot="1" x14ac:dyDescent="0.45">
      <c r="C11" s="194" t="s">
        <v>48</v>
      </c>
      <c r="D11" s="284" t="s">
        <v>468</v>
      </c>
      <c r="E11" s="285"/>
      <c r="F11" s="86"/>
      <c r="G11" s="195" t="s">
        <v>47</v>
      </c>
      <c r="I11" s="198">
        <f>IF(OR(AND(D11="PNP",D12="PNP. SUBOFICIAL (ST3 Y S3) HASTA 49 AÑOS",D13="G1"),AND(D11="PNP",D12="PNP. SUBOFICIAL (ST3 Y S3) HASTA 49 AÑOS",D13="G2"),AND(D11="PNP",D12="PNP. SUBOFICIAL (ST3 Y S3) HASTA 49 AÑOS",D13="G3"),AND(D11="PNP",D12="PNP. SUBOFICIAL (ST3 Y S3) HASTA 49 AÑOS",D13="G4")),0.4,H14)</f>
        <v>0.5</v>
      </c>
      <c r="J11" s="144"/>
      <c r="K11" s="206"/>
      <c r="L11" s="96"/>
      <c r="AD11" s="140"/>
    </row>
    <row r="12" spans="3:30" ht="19.5" customHeight="1" thickBot="1" x14ac:dyDescent="0.45">
      <c r="C12" s="160" t="s">
        <v>354</v>
      </c>
      <c r="D12" s="290" t="s">
        <v>357</v>
      </c>
      <c r="E12" s="291"/>
      <c r="G12" s="161"/>
      <c r="H12" s="96"/>
      <c r="I12" s="183"/>
      <c r="J12" s="133"/>
    </row>
    <row r="13" spans="3:30" ht="18.45" customHeight="1" thickBot="1" x14ac:dyDescent="0.45">
      <c r="C13" s="160" t="s">
        <v>342</v>
      </c>
      <c r="D13" s="167" t="s">
        <v>350</v>
      </c>
      <c r="E13" s="168"/>
      <c r="G13" s="100"/>
      <c r="H13" s="96"/>
      <c r="J13" s="134"/>
    </row>
    <row r="14" spans="3:30" ht="14.55" hidden="1" customHeight="1" x14ac:dyDescent="0.4">
      <c r="C14" s="160"/>
      <c r="D14" s="203"/>
      <c r="E14" s="135">
        <f>IF(AND(D11="RED DE SALUD PACIFICO NORTE",D12="RED DE SALUD PACÍFICO NORTE CAS"),0.35,E15)</f>
        <v>0.5</v>
      </c>
      <c r="F14" s="135">
        <f>IF(OR(AND(D11="HOSPITAL SANTA MARIA DEL SOCORRO ICA",D12="HOSPITAL SANTA MARIA DEL SOCORRO ICA CAS"),AND(D11="U. E HOSPITAL SAN JUAN DE DIOS - PISCO",D12="U. E HOSPITAL SAN JUAN DE DIOS - PISCO CAS"),AND(D11="U. E SALUD CHINCHA PISCO",D12="U. E SALUD CHINCHA PISCO CAS"),AND(D11="HOSPITAL REGIONAL DE ICA",D12="HOSPITAL REGIONAL DE ICA CAS")),0.41,E14)</f>
        <v>0.5</v>
      </c>
      <c r="G14" s="196">
        <f>IF(AND(D11="EJERCITO ",D12="MAYOR DE 55 AÑOS AL FINALIZAR EL CRÉDITO"),0.3,F14)</f>
        <v>0.5</v>
      </c>
      <c r="H14" s="196">
        <f>IF(OR(AND(D11="PNP",D12="PNP. SUBOFICIAL (SS, SB, ST1, ST2, S1 Y S2) HASTA 49 AÑOS"),AND(D11="MUNI HUANCAYO",D12="MUN. DE HUANCAYO - CAS C/SENT DEF"),AND(D11="FAP",D12="FAP PERSONAL MILITAR"),AND(D11="PNP",D12="PNP. OFICIAL HASTA 49 AÑOS"),AND(D11="CARVIMSA",D12="CARVIMSA OPERARIOS"),AND(D11="CONTRALORIA GENERAL DE LA REPUBLICA",D12="CONTRALORIA G. DE LA REPUBLICA CAS")),0.45,G14)</f>
        <v>0.5</v>
      </c>
      <c r="I14" s="135">
        <f>IF(AND(D11="HOSPITAL VICTOR RAMOS GUARDIA",D12="HOSPITAL VICTOR RAMOS GUARDIA CAS"),0.38,VLOOKUP(D11,BD!$B$2:$S$269,11,0))</f>
        <v>0.5</v>
      </c>
      <c r="J14" s="139"/>
      <c r="K14" s="207"/>
      <c r="L14" s="135"/>
      <c r="M14" s="135"/>
      <c r="N14" s="135"/>
    </row>
    <row r="15" spans="3:30" ht="13.95" hidden="1" customHeight="1" x14ac:dyDescent="0.4">
      <c r="C15" s="160"/>
      <c r="D15" s="203"/>
      <c r="E15" s="135">
        <f>IF(OR(AND(D11="RED DE SALUD CAJAMARCA",D12="RED DE SALUD CAJAMARCA CAS"),AND(D11="DIRESA CHOTA",D12="DIRESA CHOTA CAS"),AND(D11="PNP",D12="PNP. SUBOFICIAL (ST3 Y S3) HASTA 49 AÑOS"),AND(D11="HOSPITAL HIPOLITO UNANUE",D12="HOSPITAL HIPOLITO UNANUE CAS")),0.4,F15)</f>
        <v>0.5</v>
      </c>
      <c r="F15" s="258">
        <f>IF(OR(AND(D11="GERESA LORETO",D12="GERESA LORETO CAS"),AND(D11="UTES SATIPO",D12="UTES SATIPO CAS"),AND(D11="HOSPITAL REGIONAL HERMILIO VALDIZAN",D12="HOSP. HERMILIO VALDIZAN CAS"),AND(D11="REDES VALLE DEL MANTARO",D12="RED DE SALUD VALLE DEL MANTARO CAS"),AND(D11="HOSP D. A. CARRION",D12="HOSP. DANIEL ALCIDES CARRIÓN CAS"),AND(D11="REGION JUNIN SALUD TARMA",D12="REGION JUNIN SALUD TARMA CAS"),AND(D11="HOSPITAL SUB REGIONAL DE ANDAHUAYLAS",D12="HOSP. REG. ANDAHUAYLAS CAS"),AND(D11="DIRESA ALTO AMAZONAS",D12="DIRESA ALTO AMAZONAS CAS"),AND(D11="U. E DE SALUD MORROPON CHULUCANAS",D12="U. E DE SALUD MORROPON CHULUCANAS CAS"),AND(D11="HOSPITAL AMAZONICO",D12="HOSPITAL AMAZONICO CAS"),AND(D11="HOSPITAL II-2 TARAPOTO",D12="HOSPITAL II-2 TARAPOTO CAS")),0.42,G15)</f>
        <v>0.5</v>
      </c>
      <c r="G15" s="196">
        <f>IF(OR(AND(D11="HOSP. REG. DOC. CAJAMARCA",D12="HOSP. REG. DOC. CAJAMARCA CAS"),AND(D11="DIRESA CUTERVO",D12="DIRESA CUTERVO CAS"),AND(D11="DIRIS LIMA CENTRO",D12="DIRIS LIMA CENTRO CAS"),AND(D11="U. E DE SALUD UTCUBAMBA",D12="U. E DE SALUD UTCUBAMBA CAS"),AND(D11="HOSPITAL GENERAL DE JAEN",D12="HOSPITAL GENERAL DE JAEN CAS"),AND(D11="U. E DE SALUD HUALGAYOC - BAMBAMARCA",D12="U. E DE SALUD HUALGAYOC - BAMBAMARCA CAS"),AND(D11="HOSPITAL DE BARRANCA",D12="HOSPITAL DE BARRANCA CAS"),AND(D11="DIRESA HUAYLAS SUR",D12="DIRESA HUAYLAS SUR CAS"),AND(D11="DIRESA LUCIANO CASTILLO COLONNA",D12="DIRESA LUCIANO CASTILLO COLONNA CAS"),AND(D11="HOSPITAL BELEN TRUJILLO",D12="HOSPITAL BELEN TRUJILLO CAS"),AND(D11="AUTORIDAD NACIONAL DEL AGUA",D12="AUTORIDAD NACIONAL DEL AGUA CAS"),AND(D11="HOSPITAL JOSE H. SOTO CADENILLAS",D12="HOSPITAL JOSE H. SOTO CADENILLAS CAS"),AND(D11="RED DE SALUD PACIFICO SUR",D12="RED DE SALUD PACIFICO SUR CAS"),AND(D11="DIRESA CAJAMARCA",D12="DIRESA CAJAMARCA CAS")),0.4,H15)</f>
        <v>0.5</v>
      </c>
      <c r="H15" s="135">
        <f>IF(OR(AND(D11="UTES N°06",D12="UTES N°06 CAS"),AND(D11="DIRESA TUMBES",D12="DIRESA TUMBES CAS"),AND(D11="HOSPITAL D. LAS MERCEDES",D12="HOSPITAL D. LAS MERCEDES CAS/CONTRATO POR FUNC.")),0.45,I14)</f>
        <v>0.5</v>
      </c>
      <c r="I15" s="137"/>
      <c r="J15" s="139"/>
      <c r="K15" s="207"/>
      <c r="L15" s="135"/>
      <c r="M15" s="135"/>
      <c r="N15" s="135"/>
    </row>
    <row r="16" spans="3:30" ht="10.050000000000001" customHeight="1" x14ac:dyDescent="0.3">
      <c r="D16" s="6"/>
      <c r="G16" s="100"/>
      <c r="H16" s="96"/>
      <c r="J16" s="134"/>
    </row>
    <row r="17" spans="3:17" ht="18" customHeight="1" x14ac:dyDescent="0.3">
      <c r="C17" s="149" t="s">
        <v>225</v>
      </c>
      <c r="D17" s="92"/>
      <c r="E17" s="147">
        <v>2000</v>
      </c>
      <c r="F17" s="91"/>
      <c r="G17" s="149" t="s">
        <v>229</v>
      </c>
      <c r="H17" s="149"/>
      <c r="I17" s="147">
        <v>100</v>
      </c>
      <c r="J17" s="134"/>
    </row>
    <row r="18" spans="3:17" ht="19.5" customHeight="1" x14ac:dyDescent="0.3">
      <c r="C18" s="149" t="s">
        <v>226</v>
      </c>
      <c r="D18" s="92"/>
      <c r="E18" s="147"/>
      <c r="F18" s="91"/>
      <c r="G18" s="149" t="s">
        <v>230</v>
      </c>
      <c r="H18" s="149"/>
      <c r="I18" s="147">
        <v>0</v>
      </c>
      <c r="J18" s="134"/>
    </row>
    <row r="19" spans="3:17" ht="19.5" customHeight="1" x14ac:dyDescent="0.3">
      <c r="C19" s="149" t="s">
        <v>227</v>
      </c>
      <c r="D19" s="92"/>
      <c r="E19" s="147">
        <v>0</v>
      </c>
      <c r="F19" s="91"/>
      <c r="G19" s="149" t="s">
        <v>231</v>
      </c>
      <c r="H19" s="149"/>
      <c r="I19" s="147">
        <v>0</v>
      </c>
      <c r="J19" s="134"/>
    </row>
    <row r="20" spans="3:17" ht="15.6" x14ac:dyDescent="0.3">
      <c r="C20" s="149" t="s">
        <v>228</v>
      </c>
      <c r="D20" s="93"/>
      <c r="E20" s="147">
        <v>0</v>
      </c>
      <c r="F20" s="91"/>
      <c r="G20" s="288" t="s">
        <v>232</v>
      </c>
      <c r="H20" s="288"/>
      <c r="I20" s="147">
        <v>0</v>
      </c>
      <c r="J20" s="134"/>
    </row>
    <row r="21" spans="3:17" ht="15.75" customHeight="1" x14ac:dyDescent="0.3">
      <c r="C21" s="142" t="s">
        <v>279</v>
      </c>
      <c r="D21" s="93"/>
      <c r="E21" s="146"/>
      <c r="F21" s="91"/>
      <c r="G21" s="150" t="s">
        <v>304</v>
      </c>
      <c r="H21" s="151"/>
      <c r="I21" s="98"/>
      <c r="J21" s="134"/>
    </row>
    <row r="22" spans="3:17" ht="15.75" customHeight="1" x14ac:dyDescent="0.3">
      <c r="C22" s="149" t="s">
        <v>299</v>
      </c>
      <c r="D22" s="93"/>
      <c r="E22" s="147">
        <v>0</v>
      </c>
      <c r="F22" s="91"/>
      <c r="G22" s="289" t="s">
        <v>305</v>
      </c>
      <c r="H22" s="289"/>
      <c r="I22" s="289"/>
      <c r="J22" s="134"/>
    </row>
    <row r="23" spans="3:17" ht="18.75" customHeight="1" x14ac:dyDescent="0.3">
      <c r="C23" s="143" t="s">
        <v>224</v>
      </c>
      <c r="D23" s="93"/>
      <c r="E23" s="136"/>
      <c r="F23" s="91"/>
      <c r="G23" s="289"/>
      <c r="H23" s="289"/>
      <c r="I23" s="289"/>
      <c r="J23" s="134"/>
    </row>
    <row r="24" spans="3:17" ht="15.6" x14ac:dyDescent="0.3">
      <c r="C24" s="93"/>
      <c r="D24" s="94"/>
      <c r="E24" s="136"/>
      <c r="F24" s="137"/>
      <c r="G24" s="135"/>
      <c r="H24" s="140"/>
      <c r="I24" s="140"/>
      <c r="J24" s="139"/>
    </row>
    <row r="25" spans="3:17" ht="15.6" hidden="1" x14ac:dyDescent="0.3">
      <c r="C25" s="95"/>
      <c r="D25" s="96"/>
      <c r="F25" s="137"/>
      <c r="G25" s="141"/>
      <c r="H25" s="138"/>
      <c r="I25" s="138"/>
      <c r="J25" s="139"/>
      <c r="K25" s="207"/>
      <c r="L25" s="135"/>
    </row>
    <row r="26" spans="3:17" ht="15.6" hidden="1" x14ac:dyDescent="0.3">
      <c r="C26" s="97"/>
      <c r="D26" s="98"/>
      <c r="E26" s="86"/>
      <c r="F26" s="145"/>
      <c r="G26" s="145"/>
      <c r="H26" s="145"/>
      <c r="I26" s="145"/>
      <c r="J26" s="134"/>
      <c r="K26" s="208"/>
      <c r="L26" s="133"/>
    </row>
    <row r="27" spans="3:17" ht="15.6" x14ac:dyDescent="0.3">
      <c r="C27" s="150" t="s">
        <v>23</v>
      </c>
      <c r="D27" s="152"/>
      <c r="E27" s="153">
        <f>E17-(E19+E20)</f>
        <v>2000</v>
      </c>
      <c r="F27" s="138"/>
      <c r="G27" s="137"/>
      <c r="H27" s="137"/>
      <c r="I27" s="138"/>
      <c r="J27" s="139"/>
      <c r="K27" s="207"/>
      <c r="L27" s="135"/>
      <c r="M27" s="135"/>
      <c r="N27" s="135"/>
      <c r="O27" s="135"/>
      <c r="P27" s="135"/>
      <c r="Q27" s="135"/>
    </row>
    <row r="28" spans="3:17" ht="14.4" x14ac:dyDescent="0.3">
      <c r="C28" s="154" t="s">
        <v>136</v>
      </c>
      <c r="D28" s="152"/>
      <c r="E28" s="153">
        <f>I55</f>
        <v>0</v>
      </c>
      <c r="F28" s="138"/>
      <c r="G28" s="196"/>
      <c r="H28" s="137"/>
      <c r="I28" s="138"/>
      <c r="J28" s="139"/>
      <c r="K28" s="207"/>
      <c r="L28" s="135"/>
      <c r="M28" s="135"/>
      <c r="N28" s="135"/>
      <c r="O28" s="135"/>
      <c r="P28" s="135"/>
      <c r="Q28" s="135"/>
    </row>
    <row r="29" spans="3:17" ht="15.6" x14ac:dyDescent="0.3">
      <c r="C29" s="150" t="s">
        <v>22</v>
      </c>
      <c r="D29" s="152"/>
      <c r="E29" s="153">
        <f>E27+E22+E28-IF(D12="MINJUS CAS SIN DESCUENTO 4TA CATEGORÍA",(E17*0.08)+I17,I17)</f>
        <v>1900</v>
      </c>
      <c r="F29" s="137"/>
      <c r="G29" s="137"/>
      <c r="H29" s="137"/>
      <c r="I29" s="175"/>
      <c r="J29" s="139"/>
      <c r="K29" s="186"/>
      <c r="L29" s="135"/>
      <c r="M29" s="135"/>
      <c r="N29" s="135"/>
      <c r="O29" s="135"/>
      <c r="P29" s="135"/>
      <c r="Q29" s="135"/>
    </row>
    <row r="30" spans="3:17" ht="6" customHeight="1" x14ac:dyDescent="0.3">
      <c r="C30" s="150"/>
      <c r="D30" s="155"/>
      <c r="E30" s="155"/>
      <c r="F30" s="140"/>
      <c r="G30" s="135"/>
      <c r="H30" s="135"/>
      <c r="I30" s="197"/>
      <c r="J30" s="139"/>
      <c r="K30" s="186"/>
      <c r="L30" s="135"/>
      <c r="M30" s="135"/>
      <c r="N30" s="137"/>
      <c r="O30" s="135"/>
      <c r="P30" s="135"/>
      <c r="Q30" s="135"/>
    </row>
    <row r="31" spans="3:17" ht="15.6" x14ac:dyDescent="0.3">
      <c r="C31" s="150" t="s">
        <v>221</v>
      </c>
      <c r="D31" s="156">
        <f>(1-I11)</f>
        <v>0.5</v>
      </c>
      <c r="E31" s="157">
        <f>(E29)*(1-G14)</f>
        <v>950</v>
      </c>
      <c r="F31" s="140"/>
      <c r="G31" s="260"/>
      <c r="H31" s="135"/>
      <c r="I31" s="197"/>
      <c r="J31" s="139"/>
      <c r="K31" s="186"/>
      <c r="L31" s="135"/>
      <c r="M31" s="135"/>
      <c r="N31" s="137"/>
      <c r="O31" s="135"/>
      <c r="P31" s="135"/>
      <c r="Q31" s="135"/>
    </row>
    <row r="32" spans="3:17" ht="10.8" customHeight="1" x14ac:dyDescent="0.3">
      <c r="C32" s="92"/>
      <c r="D32" s="99"/>
      <c r="E32" s="159"/>
      <c r="F32" s="140"/>
      <c r="G32" s="135"/>
      <c r="H32" s="135"/>
      <c r="I32" s="135"/>
      <c r="J32" s="135"/>
      <c r="K32" s="186"/>
      <c r="L32" s="135"/>
      <c r="M32" s="135"/>
      <c r="N32" s="137"/>
      <c r="O32" s="135"/>
      <c r="P32" s="135"/>
      <c r="Q32" s="135"/>
    </row>
    <row r="33" spans="1:20" ht="13.5" customHeight="1" x14ac:dyDescent="0.3">
      <c r="C33" s="149" t="s">
        <v>202</v>
      </c>
      <c r="D33" s="144"/>
      <c r="E33" s="265">
        <f>(E29)*(I11)</f>
        <v>950</v>
      </c>
      <c r="F33" s="140"/>
      <c r="G33" s="137"/>
      <c r="H33" s="135"/>
      <c r="I33" s="197"/>
      <c r="J33" s="139"/>
      <c r="K33" s="186"/>
      <c r="L33" s="135"/>
      <c r="M33" s="135"/>
      <c r="N33" s="137"/>
      <c r="O33" s="135"/>
      <c r="P33" s="135"/>
      <c r="Q33" s="135"/>
    </row>
    <row r="34" spans="1:20" s="135" customFormat="1" ht="15.6" x14ac:dyDescent="0.3">
      <c r="C34" s="149" t="s">
        <v>432</v>
      </c>
      <c r="D34" s="144"/>
      <c r="E34" s="265">
        <f>IF(OR(D11="MARINA",D11="PNP",D11="GERESA LA LIBERTAD CAS",D11="GERESA LA LIBERTAD Nombrados",D11="SUB CAFAE DREP PIURA",D11="SUB CAFAE UGEL SAN IGNACIO",D11="SUB CAFAE UGEL CHULUCANAS",D11="FAP",D11="HOSP D. A. CARRION",D11="REDES VALLE DEL MANTARO",D11="CONFIANZA NUEVO",D11="CONFIANZA SUBROGADO",D11="U. E DE SALUD MORROPON CHULUCANAS",D11="RED DE SALUD PACIFICO SUR",D11="HOSPITAL BELEN TRUJILLO",D11="UNIDAD TERRITORIAL DE SALUD TINGO MARIA ",D11="SUB CAFAE UGEL HUARAZ"),N39,0)</f>
        <v>0</v>
      </c>
      <c r="F34" s="140"/>
      <c r="I34" s="185"/>
      <c r="J34" s="139"/>
      <c r="K34" s="186"/>
      <c r="N34" s="137"/>
    </row>
    <row r="35" spans="1:20" s="135" customFormat="1" ht="10.050000000000001" customHeight="1" x14ac:dyDescent="0.3">
      <c r="C35" s="261"/>
      <c r="D35" s="140"/>
      <c r="E35" s="260"/>
      <c r="F35" s="140"/>
      <c r="I35" s="185"/>
      <c r="J35" s="139"/>
      <c r="K35" s="186"/>
      <c r="N35" s="137"/>
      <c r="O35" s="135">
        <f>IF(D12="FAP PERSONAL CIVIL",75,P35)</f>
        <v>0</v>
      </c>
      <c r="P35" s="135">
        <f>IF(OR(AND(D11="HOSP D. A. CARRION",E36&lt;&gt;""),AND(D11="HOSP D. A. CARRION",E36&lt;&gt;0)),30,Q35)</f>
        <v>0</v>
      </c>
      <c r="Q35" s="135">
        <f>IF(OR(AND(D11="REDES VALLE DEL MANTARO",E36&lt;&gt;""),AND(D11="REDES VALLE DEL MANTARO",E36&lt;&gt;0)),100,R35)</f>
        <v>0</v>
      </c>
      <c r="R35" s="135">
        <f>IF(OR(AND(D11="CONFIANZA NUEVO",D12="F.C. RED DE AGENCIAS"),AND(D11="CONFIANZA SUBROGADO",D12="F.C. RED DE AGENCIAS")),50,S35)</f>
        <v>0</v>
      </c>
      <c r="S35" s="135">
        <f>IF(D11="HOSPITAL BELEN TRUJILLO",50,R37)</f>
        <v>0</v>
      </c>
    </row>
    <row r="36" spans="1:20" ht="15.6" x14ac:dyDescent="0.3">
      <c r="C36" s="149" t="s">
        <v>203</v>
      </c>
      <c r="D36" s="144"/>
      <c r="E36" s="184"/>
      <c r="F36" s="140"/>
      <c r="G36" s="137"/>
      <c r="H36" s="180"/>
      <c r="I36" s="140"/>
      <c r="J36" s="139"/>
      <c r="K36" s="186"/>
      <c r="L36" s="135"/>
      <c r="M36" s="135"/>
      <c r="N36" s="137"/>
      <c r="P36" s="135"/>
      <c r="Q36" s="135"/>
    </row>
    <row r="37" spans="1:20" s="135" customFormat="1" ht="14.4" x14ac:dyDescent="0.3">
      <c r="F37" s="140"/>
      <c r="G37" s="191">
        <f>E33-E34-E36</f>
        <v>950</v>
      </c>
      <c r="H37" s="189">
        <f>IF(Cronograma!L4="CONFIANZA NUEVO",DATE(YEAR(EDATE(Cronograma!Q6,E55)),MONTH(EDATE(Cronograma!Q6,E55)),G53),DATE(YEAR(EDATE(Cronograma!Q6,G55)),MONTH(EDATE(Cronograma!Q6,G55)),G53))</f>
        <v>45521</v>
      </c>
      <c r="I37" s="190" t="s">
        <v>355</v>
      </c>
      <c r="J37" s="191">
        <f>IF(D13="G7",G39,IF(D13="G8",G39,0))</f>
        <v>0</v>
      </c>
      <c r="K37" s="209"/>
      <c r="L37" s="202"/>
      <c r="M37" s="202"/>
      <c r="N37" s="135">
        <v>325</v>
      </c>
      <c r="O37" s="135">
        <f>IF(D11="SUB CAFAE UGEL CHULUCANAS",30,O35)</f>
        <v>0</v>
      </c>
      <c r="R37" s="135">
        <f>IF(D11="RED DE SALUD PACIFICO SUR",100,S37)</f>
        <v>0</v>
      </c>
      <c r="S37" s="135">
        <f>IF(D11="UNIDAD TERRITORIAL DE SALUD TINGO MARIA ",150,T37)</f>
        <v>0</v>
      </c>
      <c r="T37" s="135">
        <f>IF(D11="SUB CAFAE UGEL HUARAZ",50,U37)</f>
        <v>0</v>
      </c>
    </row>
    <row r="38" spans="1:20" s="135" customFormat="1" ht="15.6" x14ac:dyDescent="0.3">
      <c r="C38" s="192"/>
      <c r="D38" s="140"/>
      <c r="E38" s="138"/>
      <c r="F38" s="140"/>
      <c r="G38" s="191"/>
      <c r="H38" s="189"/>
      <c r="I38" s="190" t="s">
        <v>356</v>
      </c>
      <c r="J38" s="191">
        <f>IF(D13="G1",G39,IF(D13="G2",G39,IF(D13="G3",G39,IF(D13="G4",G39,IF(D13="G5",G39,IF(D13="G6",G39,IF(D13="NB",G39,"No se puede atender")))))))</f>
        <v>0</v>
      </c>
      <c r="K38" s="204"/>
      <c r="L38" s="202"/>
      <c r="M38" s="202"/>
      <c r="N38" s="137">
        <f>IF(OR(AND(D11="PNP",D12="PNP. SUBOFICIAL (SS, SB, ST1, ST2, S1 Y S2) HASTA 49 AÑOS"),AND(D11="PNP",D12="PNP. SUBOFICIAL (SS, SB, ST1, ST2, S1 Y S2) MAYOR  49 AÑOS HASTA 55"),(AND(D11="U. E DE SALUD MORROPON CHULUCANAS",D12="U. E DE SALUD MORROPON CHULUCANAS NOMBRADOS"))),100,M39)</f>
        <v>0</v>
      </c>
      <c r="O38" s="135">
        <f>IF(D11="SUB CAFAE UGEL SAN IGNACIO",30,O37)</f>
        <v>0</v>
      </c>
    </row>
    <row r="39" spans="1:20" s="135" customFormat="1" ht="15.6" x14ac:dyDescent="0.3">
      <c r="C39" s="192"/>
      <c r="D39" s="140"/>
      <c r="E39" s="138"/>
      <c r="G39" s="193"/>
      <c r="H39" s="193">
        <f>E33-E36</f>
        <v>950</v>
      </c>
      <c r="I39" s="140"/>
      <c r="J39" s="139"/>
      <c r="K39" s="204"/>
      <c r="L39" s="202"/>
      <c r="M39" s="202">
        <f>IF(OR((AND(D11="MARINA",D12="MARINA. SUBOFICIALES TECNICO SUPERVISOR 1",D13="NB")),(AND(D11="MARINA",D12="MARINA. SUBOFICIALES TECNICO SUPERVISOR 1",D13="G5")),(AND(D11="MARINA",D12="MARINA. SUBOFICIALES TECNICO SUPERVISOR 1",D13="G6")),(AND(D11="MARINA",D12="MARINA. SUBOFICIALES TECNICO 2DO",D13="NB")),(AND(D11="MARINA",D12="MARINA. SUBOFICIALES TECNICO 2DO",D13="G5")),(AND(D11="MARINA",D12="MARINA. SUBOFICIALES TECNICO 2DO",D13="G6")),(AND(D11="MARINA",D12="MARINA. SUBOFICIALES TECNICO 3RO",D13="NB")),(AND(D11="MARINA",D12="MARINA. SUBOFICIALES TECNICO 3RO",D13="G5")),(AND(D11="MARINA",D12="MARINA. SUBOFICIALES TECNICO 3RO",D13="G6")),(AND(D11="MARINA",D12="MARINA. SUBOFICIALES OFICIAL DE MAR 1",D13="NB")),(AND(D11="MARINA",D12="MARINA. SUBOFICIALES OFICIAL DE MAR 1",D13="G5")),(AND(D11="MARINA",D12="MARINA. SUBOFICIALES OFICIAL DE MAR 1",D13="G6")),(AND(D11="MARINA",D12="MARINA. SUBOFICIALES OFICIAL DE MAR 2",D13="NB")),(AND(D11="MARINA",D12="MARINA. SUBOFICIALES OFICIAL DE MAR 2",D13="G5")),(AND(D11="MARINA",D12="MARINA. SUBOFICIALES OFICIAL DE MAR 2",D13="G6")),(AND(D11="MARINA",D12="MARINA. SUBOFICIALES OFICIAL DE MAR 3",D13="NB")),(AND(D11="MARINA",D12="MARINA. SUBOFICIALES OFICIAL DE MAR 3",D13="G5")),(AND(D11="MARINA",D12="MARINA. SUBOFICIALES OFICIAL DE MAR 3",D13="G6"))),200,O39)</f>
        <v>0</v>
      </c>
      <c r="N39" s="202">
        <f>IF(OR((AND(D11="MARINA",D12="MARINA. ADMINISTRATIVOS OFICIALES SALUD Y DOCENTES NOM.",D13="NB")),(AND(D11="MARINA",D12="MARINA. ADMINISTRATIVOS OFICIALES SALUD Y DOCENTES NOM.",D13="G1")),(AND(D11="MARINA",D12="MARINA. ADMINISTRATIVOS OFICIALES SALUD Y DOCENTES NOM.",D13="G2")),(AND(D11="MARINA",D12="MARINA. ADMINISTRATIVOS OFICIALES SALUD Y DOCENTES NOM.",D13="G3")),(AND(D11="MARINA",D12="MARINA. ADMINISTRATIVOS OFICIALES SALUD Y DOCENTES NOM.",D13="G4")),(AND(D11="MARINA",D12="MARINA. ADMINISTRATIVOS OFICIALES SALUD Y DOCENTES NOM.",D13="G5")),(AND(D11="MARINA",D12="MARINA. ADMINISTRATIVOS OFICIALES SALUD Y DOCENTES NOM.",D13="G6")),(AND(D11="MARINA",D12="MARINA. SUBOFICIALES TECNICO SUPERVISOR 2DO Y TECNICO 1°",D13="G1")),(AND(D11="MARINA",D12="MARINA. SUBOFICIALES TECNICO SUPERVISOR 2DO Y TECNICO 1°",D13="G2")),(AND(D11="MARINA",D12="MARINA. SUBOFICIALES TECNICO SUPERVISOR 2DO Y TECNICO 1°",D13="G3")),(AND(D11="MARINA",D12="MARINA. SUBOFICIALES TECNICO SUPERVISOR 2DO Y TECNICO 1°",D13="G4")),(AND(D11="MARINA",D12="MARINA. SUBOFICIALES TECNICO SUPERVISOR 1",D13="G1")),(AND(D11="MARINA",D12="MARINA. SUBOFICIALES TECNICO SUPERVISOR 1",D13="G2")),(AND(D11="MARINA",D12="MARINA. SUBOFICIALES TECNICO SUPERVISOR 1",D13="G3")),(AND(D11="MARINA",D12="MARINA. SUBOFICIALES TECNICO SUPERVISOR 1",D13="G4")),(AND(D11="MARINA",D12="MARINA. SUBOFICIALES TECNICO SUPERVISOR 2DO Y TECNICO 1°",D13="G5")),(AND(D11="MARINA",D12="MARINA. SUBOFICIALES TECNICO SUPERVISOR 2DO Y TECNICO 1°",D13="G6")),(AND(D11="MARINA",D12="MARINA. SUBOFICIALES TECNICO SUPERVISOR 2DO Y TECNICO 1°",D13="NB")),(AND(D11="MARINA",D12="MARINA. SUBOFICIALES TECNICO 2DO",D13="G1")),(AND(D11="MARINA",D12="MARINA. SUBOFICIALES TECNICO 2DO",D13="G2")),(AND(D11="MARINA",D12="MARINA. SUBOFICIALES TECNICO 2DO",D13="G3")),(AND(D11="MARINA",D12="MARINA. SUBOFICIALES TECNICO 2DO",D13="G4")),(AND(D11="MARINA",D12="MARINA. SUBOFICIALES TECNICO 3RO",D13="G1")),(AND(D11="MARINA",D12="MARINA. SUBOFICIALES TECNICO 3RO",D13="G2")),(AND(D11="MARINA",D12="MARINA. SUBOFICIALES TECNICO 3RO",D13="G3")),(AND(D11="MARINA",D12="MARINA. SUBOFICIALES TECNICO 3RO",D13="G4")),(AND(D11="MARINA",D12="MARINA. SUBOFICIALES OFICIAL DE MAR 1",D13="G1")),(AND(D11="MARINA",D12="MARINA. SUBOFICIALES OFICIAL DE MAR 1",D13="G2")),(AND(D11="MARINA",D12="MARINA. SUBOFICIALES OFICIAL DE MAR 1",D13="G3")),(AND(D11="MARINA",D12="MARINA. SUBOFICIALES OFICIAL DE MAR 1",D13="G4")),(AND(D11="MARINA",D12="MARINA. SUBOFICIALES OFICIAL DE MAR 2",D13="G1")),(AND(D11="MARINA",D12="MARINA. SUBOFICIALES OFICIAL DE MAR 2",D13="G2")),(AND(D11="MARINA",D12="MARINA. SUBOFICIALES OFICIAL DE MAR 2",D13="G3")),(AND(D11="MARINA",D12="MARINA. SUBOFICIALES OFICIAL DE MAR 2",D13="G4")),(AND(D11="MARINA",D12="MARINA. SUBOFICIALES OFICIAL DE MAR 3",D13="G1")),(AND(D11="MARINA",D12="MARINA. SUBOFICIALES OFICIAL DE MAR 3",D13="G2")),(AND(D11="MARINA",D12="MARINA. SUBOFICIALES OFICIAL DE MAR 3",D13="G3")),(AND(D11="MARINA",D12="MARINA. SUBOFICIALES OFICIAL DE MAR 3",D13="G4")),(D11="GERESA LA LIBERTAD CAS"),(D11="GERESA LA LIBERTAD Nombrados")),100,N38)</f>
        <v>0</v>
      </c>
      <c r="O39" s="135">
        <f>IF(D11="SUB CAFAE DREP PIURA",60,O38)</f>
        <v>0</v>
      </c>
    </row>
    <row r="40" spans="1:20" s="135" customFormat="1" ht="15.6" x14ac:dyDescent="0.3">
      <c r="C40" s="192"/>
      <c r="D40" s="140"/>
      <c r="E40" s="138"/>
      <c r="G40" s="193"/>
      <c r="H40" s="193"/>
      <c r="I40" s="140"/>
      <c r="J40" s="139"/>
      <c r="K40" s="186"/>
      <c r="M40" s="202"/>
      <c r="N40" s="202"/>
    </row>
    <row r="41" spans="1:20" ht="23.4" x14ac:dyDescent="0.3">
      <c r="C41" s="158" t="s">
        <v>204</v>
      </c>
      <c r="D41" s="144"/>
      <c r="E41" s="182">
        <f>E33-E34-E36</f>
        <v>950</v>
      </c>
      <c r="F41" s="135"/>
      <c r="G41" s="135"/>
      <c r="H41" s="193"/>
      <c r="I41" s="140"/>
      <c r="J41" s="139"/>
      <c r="K41" s="186"/>
      <c r="L41" s="135"/>
      <c r="M41" s="135"/>
      <c r="N41" s="135"/>
      <c r="O41" s="135"/>
      <c r="P41" s="135"/>
      <c r="Q41" s="135"/>
    </row>
    <row r="42" spans="1:20" ht="14.4" x14ac:dyDescent="0.3">
      <c r="C42" s="89"/>
      <c r="D42" s="89"/>
      <c r="E42" s="89"/>
      <c r="F42" s="135"/>
      <c r="G42" s="135"/>
      <c r="H42" s="135"/>
      <c r="I42" s="135"/>
      <c r="J42" s="135"/>
      <c r="K42" s="207"/>
      <c r="L42" s="135"/>
      <c r="M42" s="135"/>
      <c r="N42" s="135"/>
      <c r="O42" s="135"/>
      <c r="P42" s="135"/>
      <c r="Q42" s="135"/>
    </row>
    <row r="43" spans="1:20" ht="14.4" x14ac:dyDescent="0.3">
      <c r="C43" s="89"/>
      <c r="D43" s="89"/>
      <c r="E43" s="89"/>
      <c r="F43" s="135"/>
      <c r="G43" s="180"/>
      <c r="H43" s="135"/>
      <c r="I43" s="135"/>
      <c r="J43" s="135"/>
      <c r="K43" s="207"/>
      <c r="L43" s="135"/>
      <c r="M43" s="135"/>
      <c r="N43" s="135"/>
      <c r="O43" s="135"/>
      <c r="P43" s="135"/>
      <c r="Q43" s="135"/>
    </row>
    <row r="44" spans="1:20" ht="14.4" x14ac:dyDescent="0.3">
      <c r="C44" s="89"/>
      <c r="D44" s="89"/>
      <c r="E44" s="89"/>
      <c r="F44" s="135"/>
      <c r="G44" s="135"/>
      <c r="H44" s="135"/>
      <c r="I44" s="135"/>
      <c r="J44" s="135"/>
      <c r="K44" s="207"/>
      <c r="L44" s="135"/>
      <c r="M44" s="135"/>
      <c r="N44" s="135"/>
      <c r="O44" s="135"/>
      <c r="P44" s="135"/>
      <c r="Q44" s="135"/>
    </row>
    <row r="45" spans="1:20" ht="14.4" x14ac:dyDescent="0.3">
      <c r="D45" s="287"/>
      <c r="E45" s="287"/>
      <c r="F45" s="135"/>
      <c r="G45" s="286"/>
      <c r="H45" s="286"/>
      <c r="I45" s="135"/>
      <c r="J45" s="135"/>
      <c r="K45" s="207"/>
      <c r="L45" s="135"/>
      <c r="M45" s="135"/>
      <c r="N45" s="135"/>
      <c r="O45" s="135"/>
      <c r="P45" s="135"/>
      <c r="Q45" s="135"/>
    </row>
    <row r="46" spans="1:20" ht="15.6" x14ac:dyDescent="0.3">
      <c r="C46" s="283" t="s">
        <v>90</v>
      </c>
      <c r="D46" s="267" t="s">
        <v>174</v>
      </c>
      <c r="E46" s="269"/>
      <c r="F46" s="135"/>
      <c r="G46" s="135"/>
      <c r="H46" s="135"/>
      <c r="I46" s="135"/>
      <c r="J46" s="135"/>
      <c r="K46" s="207"/>
      <c r="L46" s="135"/>
    </row>
    <row r="47" spans="1:20" ht="15.6" x14ac:dyDescent="0.3">
      <c r="C47" s="283"/>
      <c r="D47" s="267" t="s">
        <v>92</v>
      </c>
      <c r="E47" s="270"/>
      <c r="F47" s="135"/>
      <c r="G47" s="135"/>
      <c r="H47" s="135"/>
      <c r="I47" s="135"/>
      <c r="J47" s="135"/>
      <c r="K47" s="207"/>
      <c r="L47" s="135"/>
    </row>
    <row r="48" spans="1:20" ht="15.6" x14ac:dyDescent="0.3">
      <c r="A48" s="135"/>
      <c r="B48" s="135"/>
      <c r="C48" s="283"/>
      <c r="D48" s="268" t="s">
        <v>93</v>
      </c>
      <c r="E48" s="271">
        <f>IF(Cronograma!L4="CONFIANZA SUBROGADO",DATE(YEAR(EDATE(Cronograma!Q6,E55)),MONTH(EDATE(Cronograma!Q6,E55)),G53),H37)</f>
        <v>45521</v>
      </c>
      <c r="F48" s="135"/>
      <c r="G48" s="135"/>
      <c r="H48" s="135"/>
      <c r="I48" s="135"/>
      <c r="J48" s="135"/>
      <c r="K48" s="207"/>
      <c r="L48" s="135"/>
    </row>
    <row r="49" spans="1:14" ht="14.4" x14ac:dyDescent="0.3">
      <c r="A49" s="135"/>
      <c r="B49" s="135"/>
      <c r="C49" s="262"/>
      <c r="D49" s="187"/>
      <c r="E49" s="188"/>
      <c r="F49" s="135"/>
      <c r="G49" s="135"/>
      <c r="H49" s="135"/>
      <c r="I49" s="135"/>
      <c r="J49" s="135"/>
      <c r="K49" s="207"/>
      <c r="L49" s="135"/>
    </row>
    <row r="50" spans="1:14" s="135" customFormat="1" ht="14.4" x14ac:dyDescent="0.3">
      <c r="C50" s="169"/>
      <c r="D50" s="137"/>
      <c r="E50" s="137"/>
      <c r="F50" s="137"/>
      <c r="G50" s="170"/>
      <c r="H50" s="171"/>
      <c r="I50" s="137"/>
      <c r="K50" s="207"/>
    </row>
    <row r="51" spans="1:14" s="135" customFormat="1" ht="14.4" x14ac:dyDescent="0.3">
      <c r="C51" s="137"/>
      <c r="D51" s="172" t="s">
        <v>89</v>
      </c>
      <c r="E51" s="173">
        <f>IF(AND(G52&lt;G53,DAY(E47)&lt;=G53,DAY(E47)&gt;G52),2,1)</f>
        <v>1</v>
      </c>
      <c r="F51" s="174" t="s">
        <v>98</v>
      </c>
      <c r="G51" s="171">
        <f>VLOOKUP($D$11,BD!$B$2:$AA$269,17,0)</f>
        <v>1</v>
      </c>
      <c r="H51" s="174" t="s">
        <v>128</v>
      </c>
      <c r="I51" s="171">
        <f>VLOOKUP($D$11,BD!$B$2:$AA$269,18,0)</f>
        <v>0</v>
      </c>
      <c r="K51" s="210">
        <f>IF(AND(L51="SI",G54&gt;G52, G54&gt;G53,G52&gt;G53),1,0)</f>
        <v>0</v>
      </c>
      <c r="L51" s="175" t="s">
        <v>79</v>
      </c>
      <c r="N51" s="135">
        <f>IF(D11="MARINA",200,0)</f>
        <v>0</v>
      </c>
    </row>
    <row r="52" spans="1:14" s="135" customFormat="1" ht="14.4" x14ac:dyDescent="0.3">
      <c r="C52" s="137"/>
      <c r="D52" s="176"/>
      <c r="E52" s="137"/>
      <c r="F52" s="174" t="s">
        <v>24</v>
      </c>
      <c r="G52" s="171">
        <f>VLOOKUP($D$11,BD!$B$2:$AA$269,15,0)</f>
        <v>25</v>
      </c>
      <c r="H52" s="140" t="s">
        <v>223</v>
      </c>
      <c r="I52" s="171"/>
      <c r="K52" s="207"/>
      <c r="N52" s="139">
        <v>0</v>
      </c>
    </row>
    <row r="53" spans="1:14" s="135" customFormat="1" ht="14.4" x14ac:dyDescent="0.3">
      <c r="C53" s="137" t="s">
        <v>79</v>
      </c>
      <c r="D53" s="137"/>
      <c r="E53" s="137"/>
      <c r="F53" s="174" t="s">
        <v>28</v>
      </c>
      <c r="G53" s="171">
        <f>VLOOKUP(Cronograma!$L$4,BD!$B$2:$AA$269,16,0)</f>
        <v>17</v>
      </c>
      <c r="H53" s="177" t="s">
        <v>128</v>
      </c>
      <c r="I53" s="171"/>
      <c r="K53" s="207"/>
      <c r="N53" s="135">
        <v>0</v>
      </c>
    </row>
    <row r="54" spans="1:14" s="135" customFormat="1" ht="14.4" x14ac:dyDescent="0.3">
      <c r="C54" s="137" t="s">
        <v>124</v>
      </c>
      <c r="D54" s="178"/>
      <c r="E54" s="137"/>
      <c r="F54" s="174" t="s">
        <v>309</v>
      </c>
      <c r="G54" s="171">
        <f>DAY(E47)</f>
        <v>0</v>
      </c>
      <c r="H54" s="139" t="s">
        <v>91</v>
      </c>
      <c r="I54" s="179">
        <f>J55+E51</f>
        <v>61</v>
      </c>
      <c r="K54" s="207"/>
    </row>
    <row r="55" spans="1:14" s="135" customFormat="1" ht="14.4" x14ac:dyDescent="0.3">
      <c r="C55" s="137"/>
      <c r="D55" s="180" t="s">
        <v>222</v>
      </c>
      <c r="E55" s="171">
        <f>IF(G52&gt;G53,IF(DAY(E47)&gt;G52,G51+1,G51+0),IF(DAY(E47)&gt;G52,G51+1,G51))</f>
        <v>1</v>
      </c>
      <c r="F55" s="174" t="s">
        <v>99</v>
      </c>
      <c r="G55" s="171">
        <f>IF(G52&gt;G53,IF(DAY(E47)&gt;G52,G51+2,G51+1),IF(DAY(E47)&gt;G52,G51+1,G51))</f>
        <v>2</v>
      </c>
      <c r="H55" s="137" t="s">
        <v>284</v>
      </c>
      <c r="I55" s="181">
        <f>IF(D11="HOSP LAS MERCEDES",I20*0.5,IF(D11="REDES PUNO",I20*0.5,IF(D11="REDES CUSCO",I20*0.5,IF(D11="DIRESA PUNO",I20*0.5,IF(D11="HOSP LAMBAYEQUE",I20*0.5,IF(D11="HOSP HONORIO",I20*0.5,IF(D11="RED DE SALUD PACIFICO SUR",I20*0.5,IF(D11="UTES ELEAZAR",I20*0.5,IF(D11="HOSP LOAYZA NO ASOC",I20*0.5,IF(D11="HOSP.LOAYZA MEDIC.ASIST. ASOC.",I20*0.5,IF(D11="HOSP.LOAYZA ADMIN.ASOC.",I20*0.5,IF(D11="HOSP CASIMIRO",I20*0.5,IF(D11="NOGUCHI",I20*0.5,IF(D11="RED HUANUCO",I20*0.5,IF(D11="ESSALUD CESANTES",I20*0.5,IF(D11="HOSP LAS MERCEDES ",I20*0.5,IF(D11="UTES N°06",I20*0.5,IF(D11="DIRIS LIMA NORTE",I20*0.5,IF(D11="EGEMSA",I20*0.5,IF(D11="HOSP HIPÓLITO",I20*0.5,IF(D11="DIRIS LIMA CENTRO",I20*0.5,IF(D11="CLINICA AREQUIPA",I20*0.5,IF(D11="CAJA HUANCAYO",I20*0.7,IF(D11="HOSP D. A. CARRION",I20*0.5,IF(D11="MARINA",I20*0.5,IF(D11="GERESA LAMBAYEQUE",I20*0.5,IF(D11="DIRESA HUALLAGA",I20*0.5,IF(D11="REGION JUNIN SALUD TARMA",I20*0.5,IF(D11="HOSP. REG. DOC. CAJAMARCA",I20*0.5,IF(D11="HOSPITAL II-2",I20*0.5,IF(D11="OGESS ALTO MAYO",I20*0.5,IF(D11="DIRESA ALTO AMAZONAS",I20*0.5,IF(D11="DIRESA JAEN",I20*0.5,IF(D11="REDES VALLE DEL MANTARO",I20*0.5,IF(D11="HOSPITAL EL CARMEN",I20*0.5,IF(D11="Red de Salud Pacifico Norte",I20*0.5,IF(D11="DIRESA CHOTA",I20*0.5,IF(D11="HOSPITAL APOYO IQUITOS",I20*0.5,IF(D11="DIRESA CAJAMARCA",I20*0.5,IF(D11="GERESA  LA LIBERTAD",I20*0.5,IF(D11="HOSPITAL SANTA GEMA DE YURIMAGUAS",I20*0.5,IF(D11="HOSPITAL REGIONAL HERMILIO VALDIZAN",I20*0.5,IF(D11="RED DE SALUD AREQUIPA CAYLLOMA",I20*0.5,IF(D11="HOSPITAL BELEN TRUJILLO",I20*0.5,IF(D11="OGESS BAJO MAYO",I20*0.5,IF(D11="RED DE SALUD VALLE DEL MANTARO",I20*0.5,IF(D11="RED DE SALUD TACNA",I20*0.5,IF(D11="HOSPITAL REGIONAL DE PUCALLPA",I20*0.5,IF(D11="GERESA LORETO",I20*0.5,IF(D11="EJERCITO ",I20*0.5,IF(D11="REDESS SAN ROMAN",I20*0.5,IF(D11="UNIDAD TERRITORIAL DE SALUD SATIPO",I20*0.5,IF(D11="HOSPITAL SUB REGIONAL DE ANDAHUAYLAS",I20*0.5,IF(D11="RED DE SALUD ICA",I20*0.5,IF(D11="DIRESA CUTERVO",I20*0.5,IF(D11="DIRESA PIURA",I20*0.5,IF(D11="RED DE SALUD CAMANÁ CARAVELÍ",I20*0.5,IF(D11="HOSP DE APOYO II – 2 SULLANA Nombrados",I20*0.5,IF(D11="HOSP DE APOYO II – 2 SULLANA CAS y Contrat",I20*0.5,IF(D11="DIRECCIÓN DE SALUD APURIMAC II",I20*0.5,IF(D11="DIRECCION REGIONAL DE SALUD UCAYALI",I20*0.5,IF(D11="U. E DE SALUD MORROPON CHULUCANAS",I20*0.5,IF(D11="RED DE SALUD CORONEL PORTILLO",I20*0.5,IF(D11="DIRESA TUMBES",I20*0.5,IF(D11="HOSPITAL GENERAL DE JAEN",I20*0.5,I56)))))))))))))))))))))))))))))))))))))))))))))))))))))))))))))))))</f>
        <v>0</v>
      </c>
      <c r="J55" s="137">
        <f>IF(K51=1,Cronograma!L5+1,Cronograma!L5)</f>
        <v>60</v>
      </c>
      <c r="K55" s="207"/>
    </row>
    <row r="56" spans="1:14" s="135" customFormat="1" ht="14.4" x14ac:dyDescent="0.3">
      <c r="C56" s="137"/>
      <c r="D56" s="137"/>
      <c r="E56" s="137"/>
      <c r="F56" s="137"/>
      <c r="G56" s="137"/>
      <c r="H56" s="137"/>
      <c r="I56" s="181">
        <f>IF(D11="U. E DE SALUD HUALGAYOC - BAMBAMARCA",I20*0.5,IF(D11="EJERCITO",I20*0.5,IF(D11="RED INTEGRADA DE SALUD CHANCHAMAYO",I20*0.5,IF(D11="RED DE SALUD PACHITEA",I20*0.5,IF(D11="HOSPITAL DE BARRANCA",I20*0.5,IF(D11="DIRESA HUAYLAS SUR",I20*0.5,IF(D11="DIRESA LUCIANO CASTILLO COLONNA",I20*0.5,IF(D11="HOSPITAL AMAZONICO",I20*0.5,IF(D11="HOSPITAL VICTOR RAMOS GUARDIA",I20*0.5,IF(D11="HOSP DE APOYO II – 2 SULLANA Cas",I20*0.5,IF(D11="HOSP DE APOYO II – 2 SULLANA Contrat",I20*0.5,IF(D11="HOSPITAL II-2 TARAPOTO",I20*0.5,IF(D11="U. E SALUD CHINCHA PISCO",I20*0.5,IF(D11="HOSPITAL REGIONAL DE ICA",I20*0.5,IF(D11="HOSPITAL HIPOLITO UNANUE",I20*0.5,IF(D11="HOSPITAL D. LAS MERCEDES",I20*0.5,I20*0.85))))))))))))))))</f>
        <v>0</v>
      </c>
      <c r="J56" s="137">
        <f>IF(K52=1,Cronograma!L6+1,E47)</f>
        <v>0</v>
      </c>
      <c r="K56" s="207"/>
    </row>
    <row r="57" spans="1:14" s="135" customFormat="1" ht="14.4" x14ac:dyDescent="0.3">
      <c r="C57" s="137"/>
      <c r="D57" s="137"/>
      <c r="E57" s="137"/>
      <c r="F57" s="137"/>
      <c r="G57" s="137"/>
      <c r="H57" s="137"/>
      <c r="I57" s="181"/>
      <c r="K57" s="207"/>
    </row>
    <row r="58" spans="1:14" s="135" customFormat="1" ht="14.4" x14ac:dyDescent="0.3">
      <c r="C58" s="137"/>
      <c r="D58" s="137"/>
      <c r="E58" s="137"/>
      <c r="F58" s="137"/>
      <c r="G58" s="137"/>
      <c r="H58" s="137"/>
      <c r="I58" s="181"/>
      <c r="K58" s="207"/>
    </row>
    <row r="59" spans="1:14" s="135" customFormat="1" ht="48.75" customHeight="1" x14ac:dyDescent="0.3">
      <c r="C59" s="137"/>
      <c r="D59" s="137"/>
      <c r="E59" s="264"/>
      <c r="F59" s="137"/>
      <c r="G59" s="137"/>
      <c r="H59" s="137"/>
      <c r="I59" s="137"/>
      <c r="K59" s="207"/>
    </row>
    <row r="60" spans="1:14" s="135" customFormat="1" ht="39" customHeight="1" x14ac:dyDescent="0.3">
      <c r="C60" s="137"/>
      <c r="D60" s="137"/>
      <c r="E60" s="137"/>
      <c r="F60" s="137"/>
      <c r="G60" s="137"/>
      <c r="H60" s="137"/>
      <c r="I60" s="137"/>
      <c r="K60" s="207"/>
    </row>
    <row r="61" spans="1:14" s="135" customFormat="1" ht="19.5" customHeight="1" x14ac:dyDescent="0.3">
      <c r="C61" s="137"/>
      <c r="D61" s="137"/>
      <c r="E61" s="137"/>
      <c r="F61" s="137"/>
      <c r="G61" s="137"/>
      <c r="H61" s="137"/>
      <c r="I61" s="137"/>
      <c r="K61" s="207"/>
    </row>
    <row r="62" spans="1:14" s="135" customFormat="1" ht="19.5" customHeight="1" x14ac:dyDescent="0.3">
      <c r="C62" s="137"/>
      <c r="D62" s="137"/>
      <c r="E62" s="137"/>
      <c r="F62" s="137"/>
      <c r="G62" s="137"/>
      <c r="H62" s="137"/>
      <c r="I62" s="137"/>
      <c r="K62" s="207"/>
    </row>
    <row r="63" spans="1:14" ht="18" customHeight="1" x14ac:dyDescent="0.3">
      <c r="F63" s="137"/>
      <c r="G63" s="137"/>
      <c r="H63" s="137"/>
      <c r="I63" s="137"/>
      <c r="J63" s="135"/>
      <c r="K63" s="207"/>
      <c r="L63" s="135"/>
    </row>
    <row r="64" spans="1:14" ht="12" customHeight="1" x14ac:dyDescent="0.3">
      <c r="F64" s="137"/>
      <c r="G64" s="137"/>
      <c r="H64" s="137"/>
      <c r="I64" s="137"/>
      <c r="J64" s="135"/>
      <c r="K64" s="207"/>
      <c r="L64" s="135"/>
    </row>
    <row r="65" spans="6:12" ht="11.25" customHeight="1" x14ac:dyDescent="0.3">
      <c r="F65" s="137"/>
      <c r="G65" s="137"/>
      <c r="H65" s="137"/>
      <c r="I65" s="137"/>
      <c r="J65" s="135"/>
      <c r="K65" s="207"/>
      <c r="L65" s="135"/>
    </row>
    <row r="66" spans="6:12" ht="21.75" customHeight="1" x14ac:dyDescent="0.3">
      <c r="F66" s="137"/>
      <c r="G66" s="137"/>
      <c r="H66" s="137"/>
      <c r="I66" s="137"/>
      <c r="J66" s="135"/>
      <c r="K66" s="207"/>
      <c r="L66" s="135"/>
    </row>
    <row r="67" spans="6:12" ht="7.5" customHeight="1" x14ac:dyDescent="0.3">
      <c r="F67" s="137"/>
      <c r="G67" s="137"/>
      <c r="H67" s="137"/>
      <c r="I67" s="137"/>
      <c r="J67" s="135"/>
      <c r="K67" s="207"/>
      <c r="L67" s="135"/>
    </row>
    <row r="68" spans="6:12" ht="1.5" hidden="1" customHeight="1" x14ac:dyDescent="0.3"/>
    <row r="69" spans="6:12" ht="33.75" hidden="1" customHeight="1" x14ac:dyDescent="0.3"/>
    <row r="70" spans="6:12" ht="37.5" hidden="1" customHeight="1" x14ac:dyDescent="0.3"/>
    <row r="71" spans="6:12" ht="0.75" hidden="1" customHeight="1" x14ac:dyDescent="0.3"/>
    <row r="72" spans="6:12" ht="26.25" hidden="1" customHeight="1" x14ac:dyDescent="0.3"/>
    <row r="73" spans="6:12" ht="21" hidden="1" customHeight="1" x14ac:dyDescent="0.3"/>
    <row r="74" spans="6:12" ht="18.75" hidden="1" customHeight="1" x14ac:dyDescent="0.3"/>
    <row r="75" spans="6:12" ht="6.75" customHeight="1" x14ac:dyDescent="0.3"/>
    <row r="76" spans="6:12" ht="12" customHeight="1" x14ac:dyDescent="0.3"/>
    <row r="77" spans="6:12" ht="26.25" customHeight="1" x14ac:dyDescent="0.3"/>
    <row r="78" spans="6:12" ht="26.25" customHeight="1" x14ac:dyDescent="0.3"/>
    <row r="79" spans="6:12" ht="26.25" customHeight="1" x14ac:dyDescent="0.3"/>
    <row r="80" spans="6:12" ht="26.25" customHeight="1" x14ac:dyDescent="0.3"/>
    <row r="81" ht="25.5" customHeight="1" x14ac:dyDescent="0.3"/>
    <row r="83" ht="26.25" customHeight="1" x14ac:dyDescent="0.3"/>
    <row r="84" ht="27" customHeight="1" x14ac:dyDescent="0.3"/>
    <row r="85" ht="27.75" customHeight="1" x14ac:dyDescent="0.3"/>
  </sheetData>
  <sheetProtection selectLockedCells="1"/>
  <mergeCells count="8">
    <mergeCell ref="D8:F8"/>
    <mergeCell ref="C46:C48"/>
    <mergeCell ref="D11:E11"/>
    <mergeCell ref="G45:H45"/>
    <mergeCell ref="D45:E45"/>
    <mergeCell ref="G20:H20"/>
    <mergeCell ref="G22:I23"/>
    <mergeCell ref="D12:E12"/>
  </mergeCells>
  <conditionalFormatting sqref="E27:E29">
    <cfRule type="cellIs" dxfId="1" priority="3" operator="lessThan">
      <formula>0</formula>
    </cfRule>
  </conditionalFormatting>
  <conditionalFormatting sqref="N52">
    <cfRule type="cellIs" dxfId="0" priority="1" operator="lessThan">
      <formula>0</formula>
    </cfRule>
  </conditionalFormatting>
  <dataValidations count="2">
    <dataValidation type="list" allowBlank="1" showInputMessage="1" showErrorMessage="1" sqref="E24">
      <formula1>BJudicial</formula1>
    </dataValidation>
    <dataValidation type="list" allowBlank="1" showInputMessage="1" showErrorMessage="1" sqref="D13">
      <formula1>"NB, G1, G2, G3, G4, G5, G6, G7, G8"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  <picture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BD!$AD$2:$AD$14</xm:f>
          </x14:formula1>
          <xm:sqref>D14:D15</xm:sqref>
        </x14:dataValidation>
        <x14:dataValidation type="list" allowBlank="1" showInputMessage="1" showErrorMessage="1">
          <x14:formula1>
            <xm:f>BD!$B$2:$B$269</xm:f>
          </x14:formula1>
          <xm:sqref>D11:E11</xm:sqref>
        </x14:dataValidation>
        <x14:dataValidation type="list" allowBlank="1" showInputMessage="1" showErrorMessage="1">
          <x14:formula1>
            <xm:f>Cargos!$A:$A</xm:f>
          </x14:formula1>
          <xm:sqref>D12:E12</xm:sqref>
        </x14:dataValidation>
        <x14:dataValidation type="list" allowBlank="1" showInputMessage="1" showErrorMessage="1">
          <x14:formula1>
            <xm:f>BD!B2:B2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B2:BX382"/>
  <sheetViews>
    <sheetView showGridLines="0" tabSelected="1" zoomScale="90" zoomScaleNormal="90" workbookViewId="0">
      <selection activeCell="P11" sqref="P11"/>
    </sheetView>
  </sheetViews>
  <sheetFormatPr baseColWidth="10" defaultColWidth="11.44140625" defaultRowHeight="13.8" x14ac:dyDescent="0.25"/>
  <cols>
    <col min="1" max="1" width="11.44140625" style="1"/>
    <col min="2" max="2" width="12.44140625" style="1" customWidth="1"/>
    <col min="3" max="3" width="16.21875" style="1" hidden="1" customWidth="1"/>
    <col min="4" max="4" width="13.44140625" style="1" bestFit="1" customWidth="1"/>
    <col min="5" max="5" width="7.21875" style="1" hidden="1" customWidth="1"/>
    <col min="6" max="6" width="9.44140625" style="1" hidden="1" customWidth="1"/>
    <col min="7" max="7" width="7.21875" style="1" hidden="1" customWidth="1"/>
    <col min="8" max="10" width="11.77734375" style="1" hidden="1" customWidth="1"/>
    <col min="11" max="11" width="12.77734375" style="2" hidden="1" customWidth="1"/>
    <col min="12" max="12" width="23.44140625" style="11" bestFit="1" customWidth="1"/>
    <col min="13" max="13" width="15" style="11" customWidth="1"/>
    <col min="14" max="14" width="15" style="9" customWidth="1"/>
    <col min="15" max="15" width="13.77734375" style="11" customWidth="1"/>
    <col min="16" max="16" width="22.21875" style="1" customWidth="1"/>
    <col min="17" max="17" width="14.77734375" style="1" customWidth="1"/>
    <col min="18" max="18" width="13.44140625" style="11" bestFit="1" customWidth="1"/>
    <col min="19" max="19" width="27" style="1" bestFit="1" customWidth="1"/>
    <col min="20" max="20" width="23.21875" style="1" hidden="1" customWidth="1"/>
    <col min="21" max="21" width="13.44140625" style="1" hidden="1" customWidth="1"/>
    <col min="22" max="24" width="11.44140625" style="1"/>
    <col min="25" max="25" width="12.44140625" style="1" bestFit="1" customWidth="1"/>
    <col min="26" max="26" width="11.44140625" style="1"/>
    <col min="27" max="27" width="0" style="1" hidden="1" customWidth="1"/>
    <col min="28" max="28" width="13.77734375" style="1" hidden="1" customWidth="1"/>
    <col min="29" max="29" width="14.44140625" style="1" hidden="1" customWidth="1"/>
    <col min="30" max="16384" width="11.44140625" style="1"/>
  </cols>
  <sheetData>
    <row r="2" spans="2:30" ht="15" customHeight="1" x14ac:dyDescent="0.25">
      <c r="B2" s="1" t="s">
        <v>205</v>
      </c>
      <c r="L2" s="294"/>
      <c r="M2" s="294"/>
      <c r="N2" s="294"/>
      <c r="O2" s="294"/>
      <c r="P2" s="273"/>
      <c r="S2" s="12"/>
      <c r="T2" s="12"/>
    </row>
    <row r="3" spans="2:30" x14ac:dyDescent="0.25">
      <c r="B3" s="1" t="s">
        <v>206</v>
      </c>
      <c r="L3" s="275"/>
      <c r="M3" s="266"/>
      <c r="N3" s="1"/>
      <c r="S3" s="12"/>
      <c r="T3" s="12"/>
    </row>
    <row r="4" spans="2:30" ht="15.6" x14ac:dyDescent="0.25">
      <c r="B4" s="1" t="s">
        <v>629</v>
      </c>
      <c r="L4" s="297" t="s">
        <v>468</v>
      </c>
      <c r="M4" s="297"/>
      <c r="N4" s="1"/>
      <c r="S4" s="12"/>
      <c r="T4" s="12"/>
    </row>
    <row r="5" spans="2:30" x14ac:dyDescent="0.25">
      <c r="B5" s="1" t="s">
        <v>630</v>
      </c>
      <c r="L5" s="274">
        <v>60</v>
      </c>
      <c r="M5" s="266"/>
      <c r="N5" s="1"/>
      <c r="S5" s="12"/>
      <c r="T5" s="12"/>
    </row>
    <row r="6" spans="2:30" x14ac:dyDescent="0.25">
      <c r="B6" s="1" t="s">
        <v>30</v>
      </c>
      <c r="D6" s="11"/>
      <c r="K6" s="11" t="s">
        <v>0</v>
      </c>
      <c r="L6" s="276">
        <v>100000</v>
      </c>
      <c r="N6" s="1" t="s">
        <v>36</v>
      </c>
      <c r="P6" s="11" t="s">
        <v>0</v>
      </c>
      <c r="Q6" s="257">
        <v>45444</v>
      </c>
      <c r="S6" s="12"/>
      <c r="T6" s="1" t="s">
        <v>94</v>
      </c>
      <c r="U6" s="101">
        <f>Q6</f>
        <v>45444</v>
      </c>
    </row>
    <row r="7" spans="2:30" x14ac:dyDescent="0.25">
      <c r="B7" s="1" t="s">
        <v>31</v>
      </c>
      <c r="D7" s="11"/>
      <c r="K7" s="11" t="s">
        <v>0</v>
      </c>
      <c r="L7" s="230">
        <v>0.105</v>
      </c>
      <c r="N7" s="1" t="s">
        <v>33</v>
      </c>
      <c r="P7" s="11" t="s">
        <v>0</v>
      </c>
      <c r="Q7" s="251">
        <v>0</v>
      </c>
    </row>
    <row r="8" spans="2:30" ht="14.4" x14ac:dyDescent="0.3">
      <c r="B8" s="1" t="s">
        <v>37</v>
      </c>
      <c r="K8" s="1"/>
      <c r="L8" s="272">
        <f>Q17</f>
        <v>0</v>
      </c>
      <c r="N8" s="1" t="s">
        <v>34</v>
      </c>
      <c r="P8" s="11" t="s">
        <v>0</v>
      </c>
      <c r="Q8" s="251">
        <v>0</v>
      </c>
      <c r="S8" s="12"/>
      <c r="T8" s="1" t="s">
        <v>24</v>
      </c>
      <c r="U8" s="102">
        <f>General!G52</f>
        <v>25</v>
      </c>
    </row>
    <row r="9" spans="2:30" x14ac:dyDescent="0.25">
      <c r="B9" s="1" t="s">
        <v>38</v>
      </c>
      <c r="K9" s="1"/>
      <c r="L9" s="231" t="s">
        <v>39</v>
      </c>
      <c r="N9" s="1" t="s">
        <v>35</v>
      </c>
      <c r="P9" s="11" t="s">
        <v>0</v>
      </c>
      <c r="Q9" s="252">
        <f>General!I54</f>
        <v>61</v>
      </c>
      <c r="S9" s="13"/>
      <c r="T9" s="1" t="s">
        <v>28</v>
      </c>
      <c r="U9" s="103">
        <f>General!G53</f>
        <v>17</v>
      </c>
    </row>
    <row r="10" spans="2:30" ht="15.6" x14ac:dyDescent="0.3">
      <c r="B10" s="1" t="s">
        <v>32</v>
      </c>
      <c r="D10" s="11"/>
      <c r="K10" s="11" t="s">
        <v>0</v>
      </c>
      <c r="L10" s="277">
        <f>POWER(RATE(Q10,-R17,L16)+1,12)-1</f>
        <v>0.11261236854497048</v>
      </c>
      <c r="M10" s="237"/>
      <c r="N10" s="244"/>
      <c r="O10" s="245"/>
      <c r="P10" s="244"/>
      <c r="Q10" s="253">
        <f>General!J55+1-General!K51</f>
        <v>61</v>
      </c>
      <c r="R10" s="245"/>
      <c r="S10" s="12"/>
      <c r="T10" s="1" t="s">
        <v>29</v>
      </c>
      <c r="U10" s="104">
        <f>General!E48</f>
        <v>45521</v>
      </c>
    </row>
    <row r="11" spans="2:30" x14ac:dyDescent="0.25">
      <c r="B11" s="106" t="s">
        <v>632</v>
      </c>
      <c r="C11" s="106"/>
      <c r="D11" s="106"/>
      <c r="E11" s="106"/>
      <c r="F11" s="106"/>
      <c r="G11" s="106"/>
      <c r="H11" s="106"/>
      <c r="I11" s="106"/>
      <c r="J11" s="106"/>
      <c r="K11" s="106"/>
      <c r="L11" s="278" t="s">
        <v>633</v>
      </c>
      <c r="M11" s="232"/>
      <c r="N11" s="1" t="s">
        <v>25</v>
      </c>
      <c r="P11" s="256" t="s">
        <v>631</v>
      </c>
      <c r="Q11" s="254">
        <f>IF(P11="Sin devolución",0.05511%,IF(P11="Con devolución",0.05823%,IF(P11="PNP-Sin devolución",0.06503%,IF(P11="PNP-Con devolución",0.06871%,IF(P11="Sin seguro",0)))))</f>
        <v>0</v>
      </c>
      <c r="R11" s="247"/>
      <c r="S11" s="107"/>
      <c r="T11" s="1" t="s">
        <v>26</v>
      </c>
      <c r="U11" s="105">
        <f>General!E41</f>
        <v>950</v>
      </c>
    </row>
    <row r="12" spans="2:30" x14ac:dyDescent="0.25">
      <c r="B12" s="106"/>
      <c r="C12" s="106"/>
      <c r="D12" s="106"/>
      <c r="E12" s="106"/>
      <c r="F12" s="106"/>
      <c r="G12" s="106"/>
      <c r="H12" s="106"/>
      <c r="I12" s="106"/>
      <c r="J12" s="106"/>
      <c r="K12" s="108"/>
      <c r="L12" s="232"/>
      <c r="M12" s="232"/>
      <c r="N12" s="248"/>
      <c r="O12" s="247"/>
      <c r="P12" s="246"/>
      <c r="Q12" s="246"/>
      <c r="R12" s="247"/>
      <c r="S12" s="107"/>
      <c r="T12" s="12"/>
    </row>
    <row r="13" spans="2:30" x14ac:dyDescent="0.25">
      <c r="B13" s="106"/>
      <c r="C13" s="106"/>
      <c r="D13" s="106"/>
      <c r="E13" s="106"/>
      <c r="F13" s="106"/>
      <c r="G13" s="106"/>
      <c r="H13" s="106"/>
      <c r="I13" s="106"/>
      <c r="J13" s="106"/>
      <c r="K13" s="108"/>
      <c r="L13" s="232"/>
      <c r="M13" s="232"/>
      <c r="N13" s="109"/>
      <c r="O13" s="232"/>
      <c r="P13" s="106"/>
      <c r="Q13" s="106"/>
      <c r="R13" s="232"/>
      <c r="S13" s="110">
        <f>-L6</f>
        <v>-100000</v>
      </c>
      <c r="T13" s="12"/>
    </row>
    <row r="14" spans="2:30" ht="51" customHeight="1" x14ac:dyDescent="0.25">
      <c r="B14" s="111" t="s">
        <v>19</v>
      </c>
      <c r="C14" s="111"/>
      <c r="D14" s="111" t="s">
        <v>18</v>
      </c>
      <c r="E14" s="111" t="s">
        <v>5</v>
      </c>
      <c r="F14" s="111" t="s">
        <v>6</v>
      </c>
      <c r="G14" s="111" t="s">
        <v>11</v>
      </c>
      <c r="H14" s="111" t="s">
        <v>10</v>
      </c>
      <c r="I14" s="111"/>
      <c r="J14" s="111"/>
      <c r="K14" s="111" t="s">
        <v>12</v>
      </c>
      <c r="L14" s="111" t="s">
        <v>17</v>
      </c>
      <c r="M14" s="111" t="s">
        <v>16</v>
      </c>
      <c r="N14" s="112" t="s">
        <v>15</v>
      </c>
      <c r="O14" s="111" t="s">
        <v>45</v>
      </c>
      <c r="P14" s="111" t="s">
        <v>20</v>
      </c>
      <c r="Q14" s="241" t="s">
        <v>46</v>
      </c>
      <c r="R14" s="111" t="s">
        <v>21</v>
      </c>
      <c r="S14" s="106"/>
      <c r="AA14" s="32"/>
      <c r="AB14" s="2"/>
      <c r="AD14" s="15"/>
    </row>
    <row r="15" spans="2:30" x14ac:dyDescent="0.25">
      <c r="B15" s="113"/>
      <c r="C15" s="113"/>
      <c r="D15" s="114"/>
      <c r="E15" s="114"/>
      <c r="F15" s="114"/>
      <c r="G15" s="114"/>
      <c r="H15" s="114"/>
      <c r="I15" s="114"/>
      <c r="J15" s="114"/>
      <c r="K15" s="114"/>
      <c r="L15" s="233"/>
      <c r="M15" s="233"/>
      <c r="N15" s="115"/>
      <c r="O15" s="233"/>
      <c r="P15" s="114"/>
      <c r="Q15" s="106"/>
      <c r="R15" s="233"/>
      <c r="S15" s="106"/>
      <c r="AB15" s="2"/>
      <c r="AC15" s="16"/>
      <c r="AD15" s="16"/>
    </row>
    <row r="16" spans="2:30" x14ac:dyDescent="0.25">
      <c r="B16" s="106"/>
      <c r="C16" s="113"/>
      <c r="D16" s="116">
        <f>EDATE(D17,-1)</f>
        <v>45490</v>
      </c>
      <c r="E16" s="114">
        <f>D16-U6</f>
        <v>46</v>
      </c>
      <c r="F16" s="117">
        <f t="shared" ref="F16:F47" si="0">IF(OR($B17="",$B17=$B$15), $B17, (1/(1+$AC$24)^E16))</f>
        <v>0.98732302345363854</v>
      </c>
      <c r="G16" s="118">
        <f>E16</f>
        <v>46</v>
      </c>
      <c r="H16" s="119">
        <f t="shared" ref="H16:H47" si="1">IF(OR($B17="",$B17=$B$15), $B17,((1+$AC$24)^G16-1))</f>
        <v>1.2839745701480387E-2</v>
      </c>
      <c r="I16" s="119"/>
      <c r="J16" s="119"/>
      <c r="K16" s="120">
        <f>L6</f>
        <v>100000</v>
      </c>
      <c r="L16" s="234">
        <f t="shared" ref="L16:L79" si="2">IF(OR($B17="",$B17=$B$15), $B17, K16-M16)</f>
        <v>101283.97457014804</v>
      </c>
      <c r="M16" s="238">
        <f t="shared" ref="M16" si="3">IF(OR($B17="",$B17=$B$15),$B17,P16-N16)</f>
        <v>-1283.9745701480388</v>
      </c>
      <c r="N16" s="121">
        <f t="shared" ref="N16:N79" si="4">IF(OR($B17="",$B17=$B$15),$B17,K16*H16)</f>
        <v>1283.9745701480388</v>
      </c>
      <c r="O16" s="233"/>
      <c r="P16" s="122"/>
      <c r="Q16" s="106"/>
      <c r="R16" s="233"/>
      <c r="S16" s="106"/>
      <c r="AB16" s="2"/>
      <c r="AC16" s="16"/>
      <c r="AD16" s="16"/>
    </row>
    <row r="17" spans="2:31" x14ac:dyDescent="0.25">
      <c r="B17" s="113">
        <v>1</v>
      </c>
      <c r="C17" s="114"/>
      <c r="D17" s="116">
        <f>U10</f>
        <v>45521</v>
      </c>
      <c r="E17" s="118">
        <f t="shared" ref="E17:E48" si="5">IF(OR($B18="",$B18=$B$15),$B18,$D17-$U$6)</f>
        <v>77</v>
      </c>
      <c r="F17" s="117">
        <f t="shared" si="0"/>
        <v>0.97887061284245491</v>
      </c>
      <c r="G17" s="118">
        <f t="shared" ref="G17:G80" si="6">IF(OR($B18="",$B18=$B$15), $B18,D17-D16)</f>
        <v>31</v>
      </c>
      <c r="H17" s="119">
        <f t="shared" si="1"/>
        <v>8.6348599092571643E-3</v>
      </c>
      <c r="I17" s="119">
        <f t="shared" ref="I17:I48" si="7">IF(OR($B18="",$B18=$B$15), $B18,(($Q$11/30)*G17))</f>
        <v>0</v>
      </c>
      <c r="J17" s="119">
        <f>IF(OR($B18="",$B18=$B$15), $B18,(1/(H17+I17+1)))</f>
        <v>0.99143906258600456</v>
      </c>
      <c r="K17" s="109">
        <f>L16</f>
        <v>101283.97457014804</v>
      </c>
      <c r="L17" s="234">
        <f t="shared" si="2"/>
        <v>99997.708387665989</v>
      </c>
      <c r="M17" s="234">
        <f>IF(OR($B18="",$B18=$B$15),$B18,P17-N17)</f>
        <v>1286.266182482052</v>
      </c>
      <c r="N17" s="109">
        <f t="shared" si="4"/>
        <v>874.57293146599341</v>
      </c>
      <c r="O17" s="234">
        <f t="shared" ref="O17:O80" si="8">IF(OR(B18="",B18=0),0,$Q$8+$Q$7)</f>
        <v>0</v>
      </c>
      <c r="P17" s="123">
        <f>IF(OR($B18="",$B18=$B$15),$B18,$AC$31+O17-Q17)</f>
        <v>2160.8391139480455</v>
      </c>
      <c r="Q17" s="124">
        <f>I17*K17</f>
        <v>0</v>
      </c>
      <c r="R17" s="239">
        <f>IF(OR($B18="",$B18=$B$15),$B18,P17+O17+Q17)</f>
        <v>2160.8391139480455</v>
      </c>
      <c r="S17" s="106"/>
      <c r="AA17" s="12" t="s">
        <v>13</v>
      </c>
      <c r="AB17" s="12"/>
      <c r="AC17" s="18">
        <v>0</v>
      </c>
      <c r="AD17" s="19"/>
      <c r="AE17" s="19"/>
    </row>
    <row r="18" spans="2:31" x14ac:dyDescent="0.25">
      <c r="B18" s="114">
        <f t="shared" ref="B18:B49" si="9">IF( $B17=$Q$10,$B$15,IF(OR($B17="",$B17=$B$15),"",$B17+1) )</f>
        <v>2</v>
      </c>
      <c r="C18" s="114"/>
      <c r="D18" s="116">
        <f t="shared" ref="D18:D49" si="10">IF(OR($B19="",$B19=$B$15),$B19,IF(DAY(EOMONTH($D17,$AC$27))&lt;$U$9,EOMONTH($D17,$AC$27),DATE(YEAR(EOMONTH($D17,$AC$27)),MONTH(EOMONTH($D17,$AC$27)),$U$9)))</f>
        <v>45552</v>
      </c>
      <c r="E18" s="118">
        <f t="shared" si="5"/>
        <v>108</v>
      </c>
      <c r="F18" s="117">
        <f t="shared" si="0"/>
        <v>0.97049056278951118</v>
      </c>
      <c r="G18" s="118">
        <f t="shared" si="6"/>
        <v>31</v>
      </c>
      <c r="H18" s="119">
        <f t="shared" si="1"/>
        <v>8.6348599092571643E-3</v>
      </c>
      <c r="I18" s="119">
        <f t="shared" si="7"/>
        <v>0</v>
      </c>
      <c r="J18" s="119">
        <f>IF(OR($B19="",$B19=$B$15), $B19,(J17/(H18+I18+1)))</f>
        <v>0.98295141482141546</v>
      </c>
      <c r="K18" s="109">
        <f t="shared" ref="K18:K81" si="11">IF(OR($B19="",$B19=$B$15), $B19, K17-M17)</f>
        <v>99997.708387665989</v>
      </c>
      <c r="L18" s="234">
        <f t="shared" si="2"/>
        <v>98700.335476892185</v>
      </c>
      <c r="M18" s="234">
        <f t="shared" ref="M18:M81" si="12">IF(OR($B19="",$B19=$B$15),$B19,P18-N18)</f>
        <v>1297.3729107737995</v>
      </c>
      <c r="N18" s="109">
        <f t="shared" si="4"/>
        <v>863.46620317424595</v>
      </c>
      <c r="O18" s="234">
        <f t="shared" si="8"/>
        <v>0</v>
      </c>
      <c r="P18" s="123">
        <f t="shared" ref="P18:P81" si="13">IF(OR($B19="",$B19=$B$15),$B19,$AC$31+O18-Q18)</f>
        <v>2160.8391139480455</v>
      </c>
      <c r="Q18" s="123">
        <f>IF(OR($B19="",$B19=$B$15),$B19,(I18*K18))</f>
        <v>0</v>
      </c>
      <c r="R18" s="239">
        <f t="shared" ref="R18:R81" si="14">IF(OR($B19="",$B19=$B$15),$B19,P18+O18+Q18)</f>
        <v>2160.8391139480455</v>
      </c>
      <c r="S18" s="106"/>
      <c r="AD18" s="20"/>
    </row>
    <row r="19" spans="2:31" x14ac:dyDescent="0.25">
      <c r="B19" s="114">
        <f t="shared" si="9"/>
        <v>3</v>
      </c>
      <c r="C19" s="114"/>
      <c r="D19" s="116">
        <f t="shared" si="10"/>
        <v>45582</v>
      </c>
      <c r="E19" s="118">
        <f t="shared" si="5"/>
        <v>138</v>
      </c>
      <c r="F19" s="117">
        <f t="shared" si="0"/>
        <v>0.96244915030116074</v>
      </c>
      <c r="G19" s="118">
        <f t="shared" si="6"/>
        <v>30</v>
      </c>
      <c r="H19" s="119">
        <f t="shared" si="1"/>
        <v>8.3551556836367613E-3</v>
      </c>
      <c r="I19" s="119">
        <f t="shared" si="7"/>
        <v>0</v>
      </c>
      <c r="J19" s="119">
        <f t="shared" ref="J19:J82" si="15">IF(OR($B20="",$B20=$B$15), $B20,(J18/(H19+I19+1)))</f>
        <v>0.97480675264163419</v>
      </c>
      <c r="K19" s="109">
        <f t="shared" si="11"/>
        <v>98700.335476892185</v>
      </c>
      <c r="L19" s="234">
        <f t="shared" si="2"/>
        <v>97364.153031880749</v>
      </c>
      <c r="M19" s="234">
        <f t="shared" si="12"/>
        <v>1336.1824450114345</v>
      </c>
      <c r="N19" s="109">
        <f t="shared" si="4"/>
        <v>824.6566689366108</v>
      </c>
      <c r="O19" s="234">
        <f t="shared" si="8"/>
        <v>0</v>
      </c>
      <c r="P19" s="123">
        <f t="shared" si="13"/>
        <v>2160.8391139480455</v>
      </c>
      <c r="Q19" s="123">
        <f t="shared" ref="Q19:Q82" si="16">IF(OR($B20="",$B20=$B$15),$B20,(I19*K19))</f>
        <v>0</v>
      </c>
      <c r="R19" s="239">
        <f t="shared" si="14"/>
        <v>2160.8391139480455</v>
      </c>
      <c r="S19" s="106"/>
      <c r="AA19" s="21" t="s">
        <v>1</v>
      </c>
      <c r="AB19" s="2" t="s">
        <v>0</v>
      </c>
      <c r="AD19" s="20"/>
    </row>
    <row r="20" spans="2:31" x14ac:dyDescent="0.25">
      <c r="B20" s="114">
        <f t="shared" si="9"/>
        <v>4</v>
      </c>
      <c r="C20" s="114"/>
      <c r="D20" s="116">
        <f t="shared" si="10"/>
        <v>45613</v>
      </c>
      <c r="E20" s="118">
        <f t="shared" si="5"/>
        <v>169</v>
      </c>
      <c r="F20" s="117">
        <f t="shared" si="0"/>
        <v>0.9542096833612792</v>
      </c>
      <c r="G20" s="118">
        <f t="shared" si="6"/>
        <v>31</v>
      </c>
      <c r="H20" s="119">
        <f t="shared" si="1"/>
        <v>8.6348599092571643E-3</v>
      </c>
      <c r="I20" s="119">
        <f t="shared" si="7"/>
        <v>0</v>
      </c>
      <c r="J20" s="119">
        <f t="shared" si="15"/>
        <v>0.96646149304152906</v>
      </c>
      <c r="K20" s="109">
        <f t="shared" si="11"/>
        <v>97364.153031880749</v>
      </c>
      <c r="L20" s="234">
        <f t="shared" si="2"/>
        <v>96044.039739546468</v>
      </c>
      <c r="M20" s="234">
        <f t="shared" si="12"/>
        <v>1320.1132923342789</v>
      </c>
      <c r="N20" s="109">
        <f t="shared" si="4"/>
        <v>840.72582161376647</v>
      </c>
      <c r="O20" s="234">
        <f t="shared" si="8"/>
        <v>0</v>
      </c>
      <c r="P20" s="123">
        <f t="shared" si="13"/>
        <v>2160.8391139480455</v>
      </c>
      <c r="Q20" s="123">
        <f t="shared" si="16"/>
        <v>0</v>
      </c>
      <c r="R20" s="239">
        <f t="shared" si="14"/>
        <v>2160.8391139480455</v>
      </c>
      <c r="S20" s="106"/>
      <c r="AA20" s="22" t="s">
        <v>7</v>
      </c>
      <c r="AB20" s="2" t="s">
        <v>0</v>
      </c>
      <c r="AD20" s="23"/>
    </row>
    <row r="21" spans="2:31" x14ac:dyDescent="0.25">
      <c r="B21" s="114">
        <f t="shared" si="9"/>
        <v>5</v>
      </c>
      <c r="C21" s="114"/>
      <c r="D21" s="116">
        <f t="shared" si="10"/>
        <v>45643</v>
      </c>
      <c r="E21" s="118">
        <f t="shared" si="5"/>
        <v>199</v>
      </c>
      <c r="F21" s="117">
        <f t="shared" si="0"/>
        <v>0.94630317302672118</v>
      </c>
      <c r="G21" s="118">
        <f t="shared" si="6"/>
        <v>30</v>
      </c>
      <c r="H21" s="119">
        <f t="shared" si="1"/>
        <v>8.3551556836367613E-3</v>
      </c>
      <c r="I21" s="119">
        <f t="shared" si="7"/>
        <v>0</v>
      </c>
      <c r="J21" s="119">
        <f t="shared" si="15"/>
        <v>0.95845346512488949</v>
      </c>
      <c r="K21" s="109">
        <f t="shared" si="11"/>
        <v>96044.039739546468</v>
      </c>
      <c r="L21" s="234">
        <f t="shared" si="2"/>
        <v>94685.663530107733</v>
      </c>
      <c r="M21" s="234">
        <f t="shared" si="12"/>
        <v>1358.3762094387389</v>
      </c>
      <c r="N21" s="109">
        <f t="shared" si="4"/>
        <v>802.46290450930667</v>
      </c>
      <c r="O21" s="234">
        <f t="shared" si="8"/>
        <v>0</v>
      </c>
      <c r="P21" s="123">
        <f t="shared" si="13"/>
        <v>2160.8391139480455</v>
      </c>
      <c r="Q21" s="123">
        <f t="shared" si="16"/>
        <v>0</v>
      </c>
      <c r="R21" s="239">
        <f t="shared" si="14"/>
        <v>2160.8391139480455</v>
      </c>
      <c r="S21" s="106"/>
      <c r="AD21" s="23"/>
    </row>
    <row r="22" spans="2:31" x14ac:dyDescent="0.25">
      <c r="B22" s="114">
        <f t="shared" si="9"/>
        <v>6</v>
      </c>
      <c r="C22" s="114"/>
      <c r="D22" s="116">
        <f t="shared" si="10"/>
        <v>45674</v>
      </c>
      <c r="E22" s="118">
        <f t="shared" si="5"/>
        <v>230</v>
      </c>
      <c r="F22" s="117">
        <f t="shared" si="0"/>
        <v>0.93820193078777403</v>
      </c>
      <c r="G22" s="118">
        <f t="shared" si="6"/>
        <v>31</v>
      </c>
      <c r="H22" s="119">
        <f t="shared" si="1"/>
        <v>8.6348599092571643E-3</v>
      </c>
      <c r="I22" s="119">
        <f t="shared" si="7"/>
        <v>0</v>
      </c>
      <c r="J22" s="119">
        <f t="shared" si="15"/>
        <v>0.95024820499572826</v>
      </c>
      <c r="K22" s="109">
        <f t="shared" si="11"/>
        <v>94685.663530107733</v>
      </c>
      <c r="L22" s="234">
        <f t="shared" si="2"/>
        <v>93342.421856157234</v>
      </c>
      <c r="M22" s="234">
        <f t="shared" si="12"/>
        <v>1343.2416739505049</v>
      </c>
      <c r="N22" s="109">
        <f t="shared" si="4"/>
        <v>817.5974399975405</v>
      </c>
      <c r="O22" s="234">
        <f t="shared" si="8"/>
        <v>0</v>
      </c>
      <c r="P22" s="123">
        <f t="shared" si="13"/>
        <v>2160.8391139480455</v>
      </c>
      <c r="Q22" s="123">
        <f t="shared" si="16"/>
        <v>0</v>
      </c>
      <c r="R22" s="239">
        <f t="shared" si="14"/>
        <v>2160.8391139480455</v>
      </c>
      <c r="S22" s="106"/>
      <c r="AA22" s="21" t="s">
        <v>2</v>
      </c>
      <c r="AB22" s="2"/>
      <c r="AD22" s="24"/>
    </row>
    <row r="23" spans="2:31" x14ac:dyDescent="0.25">
      <c r="B23" s="114">
        <f t="shared" si="9"/>
        <v>7</v>
      </c>
      <c r="C23" s="114"/>
      <c r="D23" s="116">
        <f t="shared" si="10"/>
        <v>45705</v>
      </c>
      <c r="E23" s="118">
        <f t="shared" si="5"/>
        <v>261</v>
      </c>
      <c r="F23" s="117">
        <f t="shared" si="0"/>
        <v>0.93017004277661008</v>
      </c>
      <c r="G23" s="118">
        <f t="shared" si="6"/>
        <v>31</v>
      </c>
      <c r="H23" s="119">
        <f t="shared" si="1"/>
        <v>8.6348599092571643E-3</v>
      </c>
      <c r="I23" s="119">
        <f t="shared" si="7"/>
        <v>0</v>
      </c>
      <c r="J23" s="119">
        <f t="shared" si="15"/>
        <v>0.94211318958499835</v>
      </c>
      <c r="K23" s="109">
        <f t="shared" si="11"/>
        <v>93342.421856157234</v>
      </c>
      <c r="L23" s="234">
        <f t="shared" si="2"/>
        <v>91987.581478527893</v>
      </c>
      <c r="M23" s="234">
        <f t="shared" si="12"/>
        <v>1354.8403776293435</v>
      </c>
      <c r="N23" s="109">
        <f t="shared" si="4"/>
        <v>805.99873631870184</v>
      </c>
      <c r="O23" s="234">
        <f t="shared" si="8"/>
        <v>0</v>
      </c>
      <c r="P23" s="123">
        <f t="shared" si="13"/>
        <v>2160.8391139480455</v>
      </c>
      <c r="Q23" s="123">
        <f t="shared" si="16"/>
        <v>0</v>
      </c>
      <c r="R23" s="239">
        <f t="shared" si="14"/>
        <v>2160.8391139480455</v>
      </c>
      <c r="S23" s="106"/>
      <c r="AA23" s="25" t="s">
        <v>3</v>
      </c>
      <c r="AB23" s="2" t="s">
        <v>0</v>
      </c>
      <c r="AC23" s="26"/>
      <c r="AD23" s="24"/>
    </row>
    <row r="24" spans="2:31" x14ac:dyDescent="0.25">
      <c r="B24" s="114">
        <f t="shared" si="9"/>
        <v>8</v>
      </c>
      <c r="C24" s="114"/>
      <c r="D24" s="116">
        <f t="shared" si="10"/>
        <v>45733</v>
      </c>
      <c r="E24" s="118">
        <f t="shared" si="5"/>
        <v>289</v>
      </c>
      <c r="F24" s="117">
        <f t="shared" si="0"/>
        <v>0.92297455171861487</v>
      </c>
      <c r="G24" s="118">
        <f t="shared" si="6"/>
        <v>28</v>
      </c>
      <c r="H24" s="119">
        <f t="shared" si="1"/>
        <v>7.7959799049676093E-3</v>
      </c>
      <c r="I24" s="119">
        <f t="shared" si="7"/>
        <v>0</v>
      </c>
      <c r="J24" s="119">
        <f t="shared" si="15"/>
        <v>0.93482531025162163</v>
      </c>
      <c r="K24" s="109">
        <f t="shared" si="11"/>
        <v>91987.581478527893</v>
      </c>
      <c r="L24" s="234">
        <f t="shared" si="2"/>
        <v>90543.875701293015</v>
      </c>
      <c r="M24" s="234">
        <f t="shared" si="12"/>
        <v>1443.7057772348712</v>
      </c>
      <c r="N24" s="109">
        <f t="shared" si="4"/>
        <v>717.13333671317412</v>
      </c>
      <c r="O24" s="234">
        <f t="shared" si="8"/>
        <v>0</v>
      </c>
      <c r="P24" s="123">
        <f t="shared" si="13"/>
        <v>2160.8391139480455</v>
      </c>
      <c r="Q24" s="123">
        <f t="shared" si="16"/>
        <v>0</v>
      </c>
      <c r="R24" s="239">
        <f t="shared" si="14"/>
        <v>2160.8391139480455</v>
      </c>
      <c r="S24" s="106"/>
      <c r="AA24" s="32" t="s">
        <v>27</v>
      </c>
      <c r="AB24" s="2"/>
      <c r="AC24" s="14">
        <f>(((1+L7)^(1/360)))-1</f>
        <v>2.7738661724852065E-4</v>
      </c>
      <c r="AD24" s="24"/>
    </row>
    <row r="25" spans="2:31" x14ac:dyDescent="0.25">
      <c r="B25" s="114">
        <f t="shared" si="9"/>
        <v>9</v>
      </c>
      <c r="C25" s="114"/>
      <c r="D25" s="116">
        <f t="shared" si="10"/>
        <v>45764</v>
      </c>
      <c r="E25" s="118">
        <f t="shared" si="5"/>
        <v>320</v>
      </c>
      <c r="F25" s="117">
        <f t="shared" si="0"/>
        <v>0.91507302434664117</v>
      </c>
      <c r="G25" s="118">
        <f t="shared" si="6"/>
        <v>31</v>
      </c>
      <c r="H25" s="119">
        <f t="shared" si="1"/>
        <v>8.6348599092571643E-3</v>
      </c>
      <c r="I25" s="119">
        <f t="shared" si="7"/>
        <v>0</v>
      </c>
      <c r="J25" s="119">
        <f t="shared" si="15"/>
        <v>0.92682232927753871</v>
      </c>
      <c r="K25" s="109">
        <f t="shared" si="11"/>
        <v>90543.875701293015</v>
      </c>
      <c r="L25" s="234">
        <f t="shared" si="2"/>
        <v>89164.870269666833</v>
      </c>
      <c r="M25" s="234">
        <f t="shared" si="12"/>
        <v>1379.0054316261865</v>
      </c>
      <c r="N25" s="109">
        <f t="shared" si="4"/>
        <v>781.83368232185899</v>
      </c>
      <c r="O25" s="234">
        <f t="shared" si="8"/>
        <v>0</v>
      </c>
      <c r="P25" s="123">
        <f t="shared" si="13"/>
        <v>2160.8391139480455</v>
      </c>
      <c r="Q25" s="123">
        <f t="shared" si="16"/>
        <v>0</v>
      </c>
      <c r="R25" s="239">
        <f t="shared" si="14"/>
        <v>2160.8391139480455</v>
      </c>
      <c r="S25" s="106"/>
    </row>
    <row r="26" spans="2:31" x14ac:dyDescent="0.25">
      <c r="B26" s="114">
        <f t="shared" si="9"/>
        <v>10</v>
      </c>
      <c r="C26" s="114"/>
      <c r="D26" s="116">
        <f t="shared" si="10"/>
        <v>45794</v>
      </c>
      <c r="E26" s="118">
        <f t="shared" si="5"/>
        <v>350</v>
      </c>
      <c r="F26" s="117">
        <f t="shared" si="0"/>
        <v>0.9074907974524582</v>
      </c>
      <c r="G26" s="118">
        <f t="shared" si="6"/>
        <v>30</v>
      </c>
      <c r="H26" s="119">
        <f t="shared" si="1"/>
        <v>8.3551556836367613E-3</v>
      </c>
      <c r="I26" s="119">
        <f t="shared" si="7"/>
        <v>0</v>
      </c>
      <c r="J26" s="119">
        <f t="shared" si="15"/>
        <v>0.91914274851818345</v>
      </c>
      <c r="K26" s="109">
        <f t="shared" si="11"/>
        <v>89164.870269666833</v>
      </c>
      <c r="L26" s="234">
        <f t="shared" si="2"/>
        <v>87749.017528333134</v>
      </c>
      <c r="M26" s="234">
        <f t="shared" si="12"/>
        <v>1415.8527413337042</v>
      </c>
      <c r="N26" s="109">
        <f t="shared" si="4"/>
        <v>744.98637261434135</v>
      </c>
      <c r="O26" s="234">
        <f t="shared" si="8"/>
        <v>0</v>
      </c>
      <c r="P26" s="123">
        <f t="shared" si="13"/>
        <v>2160.8391139480455</v>
      </c>
      <c r="Q26" s="123">
        <f t="shared" si="16"/>
        <v>0</v>
      </c>
      <c r="R26" s="239">
        <f t="shared" si="14"/>
        <v>2160.8391139480455</v>
      </c>
      <c r="S26" s="106"/>
    </row>
    <row r="27" spans="2:31" x14ac:dyDescent="0.25">
      <c r="B27" s="114">
        <f t="shared" si="9"/>
        <v>11</v>
      </c>
      <c r="C27" s="114"/>
      <c r="D27" s="116">
        <f t="shared" si="10"/>
        <v>45825</v>
      </c>
      <c r="E27" s="118">
        <f t="shared" si="5"/>
        <v>381</v>
      </c>
      <c r="F27" s="117">
        <f t="shared" si="0"/>
        <v>0.89972182553169078</v>
      </c>
      <c r="G27" s="118">
        <f t="shared" si="6"/>
        <v>31</v>
      </c>
      <c r="H27" s="119">
        <f t="shared" si="1"/>
        <v>8.6348599092571643E-3</v>
      </c>
      <c r="I27" s="119">
        <f t="shared" si="7"/>
        <v>0</v>
      </c>
      <c r="J27" s="119">
        <f t="shared" si="15"/>
        <v>0.91127402497359156</v>
      </c>
      <c r="K27" s="109">
        <f t="shared" si="11"/>
        <v>87749.017528333134</v>
      </c>
      <c r="L27" s="234">
        <f t="shared" si="2"/>
        <v>86345.878887917192</v>
      </c>
      <c r="M27" s="234">
        <f t="shared" si="12"/>
        <v>1403.1386404159375</v>
      </c>
      <c r="N27" s="109">
        <f t="shared" si="4"/>
        <v>757.70047353210794</v>
      </c>
      <c r="O27" s="234">
        <f t="shared" si="8"/>
        <v>0</v>
      </c>
      <c r="P27" s="123">
        <f t="shared" si="13"/>
        <v>2160.8391139480455</v>
      </c>
      <c r="Q27" s="123">
        <f t="shared" si="16"/>
        <v>0</v>
      </c>
      <c r="R27" s="239">
        <f t="shared" si="14"/>
        <v>2160.8391139480455</v>
      </c>
      <c r="S27" s="106"/>
      <c r="AA27" s="27" t="s">
        <v>4</v>
      </c>
      <c r="AB27" s="1" t="s">
        <v>0</v>
      </c>
      <c r="AC27" s="28">
        <v>1</v>
      </c>
    </row>
    <row r="28" spans="2:31" x14ac:dyDescent="0.25">
      <c r="B28" s="114">
        <f t="shared" si="9"/>
        <v>12</v>
      </c>
      <c r="C28" s="114"/>
      <c r="D28" s="116">
        <f t="shared" si="10"/>
        <v>45855</v>
      </c>
      <c r="E28" s="118">
        <f t="shared" si="5"/>
        <v>411</v>
      </c>
      <c r="F28" s="117">
        <f t="shared" si="0"/>
        <v>0.89226679752701199</v>
      </c>
      <c r="G28" s="118">
        <f t="shared" si="6"/>
        <v>30</v>
      </c>
      <c r="H28" s="119">
        <f t="shared" si="1"/>
        <v>8.3551556836367613E-3</v>
      </c>
      <c r="I28" s="119">
        <f t="shared" si="7"/>
        <v>0</v>
      </c>
      <c r="J28" s="119">
        <f t="shared" si="15"/>
        <v>0.90372327630513583</v>
      </c>
      <c r="K28" s="109">
        <f t="shared" si="11"/>
        <v>86345.878887917192</v>
      </c>
      <c r="L28" s="234">
        <f t="shared" si="2"/>
        <v>84906.473034718132</v>
      </c>
      <c r="M28" s="234">
        <f t="shared" si="12"/>
        <v>1439.4058531990527</v>
      </c>
      <c r="N28" s="109">
        <f t="shared" si="4"/>
        <v>721.43326074899278</v>
      </c>
      <c r="O28" s="234">
        <f t="shared" si="8"/>
        <v>0</v>
      </c>
      <c r="P28" s="123">
        <f t="shared" si="13"/>
        <v>2160.8391139480455</v>
      </c>
      <c r="Q28" s="123">
        <f t="shared" si="16"/>
        <v>0</v>
      </c>
      <c r="R28" s="239">
        <f t="shared" si="14"/>
        <v>2160.8391139480455</v>
      </c>
      <c r="S28" s="106"/>
    </row>
    <row r="29" spans="2:31" hidden="1" x14ac:dyDescent="0.25">
      <c r="B29" s="114">
        <f t="shared" si="9"/>
        <v>13</v>
      </c>
      <c r="C29" s="114"/>
      <c r="D29" s="116">
        <f t="shared" si="10"/>
        <v>45886</v>
      </c>
      <c r="E29" s="118">
        <f t="shared" si="5"/>
        <v>442</v>
      </c>
      <c r="F29" s="117">
        <f t="shared" si="0"/>
        <v>0.884628157316797</v>
      </c>
      <c r="G29" s="118">
        <f t="shared" si="6"/>
        <v>31</v>
      </c>
      <c r="H29" s="119">
        <f t="shared" si="1"/>
        <v>8.6348599092571643E-3</v>
      </c>
      <c r="I29" s="119">
        <f t="shared" si="7"/>
        <v>0</v>
      </c>
      <c r="J29" s="119">
        <f t="shared" si="15"/>
        <v>0.89598655789711668</v>
      </c>
      <c r="K29" s="109">
        <f t="shared" si="11"/>
        <v>84906.473034718132</v>
      </c>
      <c r="L29" s="234">
        <f t="shared" si="2"/>
        <v>83478.789420813991</v>
      </c>
      <c r="M29" s="234">
        <f t="shared" si="12"/>
        <v>1427.6836139041334</v>
      </c>
      <c r="N29" s="109">
        <f t="shared" si="4"/>
        <v>733.15550004391207</v>
      </c>
      <c r="O29" s="234">
        <f t="shared" si="8"/>
        <v>0</v>
      </c>
      <c r="P29" s="123">
        <f t="shared" si="13"/>
        <v>2160.8391139480455</v>
      </c>
      <c r="Q29" s="123">
        <f t="shared" si="16"/>
        <v>0</v>
      </c>
      <c r="R29" s="239">
        <f t="shared" si="14"/>
        <v>2160.8391139480455</v>
      </c>
      <c r="S29" s="106"/>
    </row>
    <row r="30" spans="2:31" hidden="1" x14ac:dyDescent="0.25">
      <c r="B30" s="114">
        <f t="shared" si="9"/>
        <v>14</v>
      </c>
      <c r="C30" s="114"/>
      <c r="D30" s="116">
        <f t="shared" si="10"/>
        <v>45917</v>
      </c>
      <c r="E30" s="118">
        <f t="shared" si="5"/>
        <v>473</v>
      </c>
      <c r="F30" s="117">
        <f t="shared" si="0"/>
        <v>0.87705491102734967</v>
      </c>
      <c r="G30" s="118">
        <f t="shared" si="6"/>
        <v>31</v>
      </c>
      <c r="H30" s="119">
        <f t="shared" si="1"/>
        <v>8.6348599092571643E-3</v>
      </c>
      <c r="I30" s="119">
        <f t="shared" si="7"/>
        <v>0</v>
      </c>
      <c r="J30" s="119">
        <f t="shared" si="15"/>
        <v>0.88831607305117832</v>
      </c>
      <c r="K30" s="109">
        <f t="shared" si="11"/>
        <v>83478.789420813991</v>
      </c>
      <c r="L30" s="234">
        <f t="shared" si="2"/>
        <v>82038.77795890905</v>
      </c>
      <c r="M30" s="234">
        <f t="shared" si="12"/>
        <v>1440.0114619049377</v>
      </c>
      <c r="N30" s="109">
        <f t="shared" si="4"/>
        <v>720.82765204310783</v>
      </c>
      <c r="O30" s="234">
        <f t="shared" si="8"/>
        <v>0</v>
      </c>
      <c r="P30" s="123">
        <f t="shared" si="13"/>
        <v>2160.8391139480455</v>
      </c>
      <c r="Q30" s="123">
        <f t="shared" si="16"/>
        <v>0</v>
      </c>
      <c r="R30" s="239">
        <f t="shared" si="14"/>
        <v>2160.8391139480455</v>
      </c>
      <c r="S30" s="106"/>
      <c r="AA30" s="1" t="s">
        <v>9</v>
      </c>
      <c r="AC30" s="7">
        <f>SUM(J17:J382)</f>
        <v>46.872519992982362</v>
      </c>
    </row>
    <row r="31" spans="2:31" hidden="1" x14ac:dyDescent="0.25">
      <c r="B31" s="114">
        <f t="shared" si="9"/>
        <v>15</v>
      </c>
      <c r="C31" s="114"/>
      <c r="D31" s="116">
        <f t="shared" si="10"/>
        <v>45947</v>
      </c>
      <c r="E31" s="118">
        <f t="shared" si="5"/>
        <v>503</v>
      </c>
      <c r="F31" s="117">
        <f t="shared" si="0"/>
        <v>0.86978769938725664</v>
      </c>
      <c r="G31" s="118">
        <f t="shared" si="6"/>
        <v>30</v>
      </c>
      <c r="H31" s="119">
        <f t="shared" si="1"/>
        <v>8.3551556836367613E-3</v>
      </c>
      <c r="I31" s="119">
        <f t="shared" si="7"/>
        <v>0</v>
      </c>
      <c r="J31" s="119">
        <f t="shared" si="15"/>
        <v>0.88095555226166788</v>
      </c>
      <c r="K31" s="109">
        <f t="shared" si="11"/>
        <v>82038.77795890905</v>
      </c>
      <c r="L31" s="234">
        <f t="shared" si="2"/>
        <v>80563.385606903001</v>
      </c>
      <c r="M31" s="234">
        <f t="shared" si="12"/>
        <v>1475.3923520060521</v>
      </c>
      <c r="N31" s="109">
        <f t="shared" si="4"/>
        <v>685.44676194199326</v>
      </c>
      <c r="O31" s="234">
        <f t="shared" si="8"/>
        <v>0</v>
      </c>
      <c r="P31" s="123">
        <f t="shared" si="13"/>
        <v>2160.8391139480455</v>
      </c>
      <c r="Q31" s="123">
        <f t="shared" si="16"/>
        <v>0</v>
      </c>
      <c r="R31" s="239">
        <f t="shared" si="14"/>
        <v>2160.8391139480455</v>
      </c>
      <c r="S31" s="106"/>
      <c r="AA31" s="25" t="s">
        <v>8</v>
      </c>
      <c r="AB31" s="25"/>
      <c r="AC31" s="29">
        <f>L16/AC30</f>
        <v>2160.8391139480455</v>
      </c>
    </row>
    <row r="32" spans="2:31" hidden="1" x14ac:dyDescent="0.25">
      <c r="B32" s="114">
        <f t="shared" si="9"/>
        <v>16</v>
      </c>
      <c r="C32" s="114"/>
      <c r="D32" s="116">
        <f t="shared" si="10"/>
        <v>45978</v>
      </c>
      <c r="E32" s="118">
        <f t="shared" si="5"/>
        <v>534</v>
      </c>
      <c r="F32" s="117">
        <f t="shared" si="0"/>
        <v>0.8623415013293394</v>
      </c>
      <c r="G32" s="118">
        <f t="shared" si="6"/>
        <v>31</v>
      </c>
      <c r="H32" s="119">
        <f t="shared" si="1"/>
        <v>8.6348599092571643E-3</v>
      </c>
      <c r="I32" s="119">
        <f t="shared" si="7"/>
        <v>0</v>
      </c>
      <c r="J32" s="119">
        <f t="shared" si="15"/>
        <v>0.873413746914244</v>
      </c>
      <c r="K32" s="109">
        <f t="shared" si="11"/>
        <v>80563.385606903001</v>
      </c>
      <c r="L32" s="234">
        <f t="shared" si="2"/>
        <v>79098.200041486023</v>
      </c>
      <c r="M32" s="234">
        <f t="shared" si="12"/>
        <v>1465.1855654169731</v>
      </c>
      <c r="N32" s="109">
        <f t="shared" si="4"/>
        <v>695.65354853107237</v>
      </c>
      <c r="O32" s="234">
        <f t="shared" si="8"/>
        <v>0</v>
      </c>
      <c r="P32" s="123">
        <f t="shared" si="13"/>
        <v>2160.8391139480455</v>
      </c>
      <c r="Q32" s="123">
        <f t="shared" si="16"/>
        <v>0</v>
      </c>
      <c r="R32" s="239">
        <f t="shared" si="14"/>
        <v>2160.8391139480455</v>
      </c>
      <c r="S32" s="106"/>
    </row>
    <row r="33" spans="2:29" hidden="1" x14ac:dyDescent="0.25">
      <c r="B33" s="114">
        <f t="shared" si="9"/>
        <v>17</v>
      </c>
      <c r="C33" s="114"/>
      <c r="D33" s="116">
        <f t="shared" si="10"/>
        <v>46008</v>
      </c>
      <c r="E33" s="118">
        <f t="shared" si="5"/>
        <v>564</v>
      </c>
      <c r="F33" s="117">
        <f t="shared" si="0"/>
        <v>0.85519620390565187</v>
      </c>
      <c r="G33" s="118">
        <f t="shared" si="6"/>
        <v>30</v>
      </c>
      <c r="H33" s="119">
        <f t="shared" si="1"/>
        <v>8.3551556836367613E-3</v>
      </c>
      <c r="I33" s="119">
        <f t="shared" si="7"/>
        <v>0</v>
      </c>
      <c r="J33" s="119">
        <f t="shared" si="15"/>
        <v>0.86617670568867555</v>
      </c>
      <c r="K33" s="109">
        <f t="shared" si="11"/>
        <v>79098.200041486023</v>
      </c>
      <c r="L33" s="234">
        <f t="shared" si="2"/>
        <v>77598.238703180032</v>
      </c>
      <c r="M33" s="234">
        <f t="shared" si="12"/>
        <v>1499.9613383059859</v>
      </c>
      <c r="N33" s="109">
        <f t="shared" si="4"/>
        <v>660.87777564205942</v>
      </c>
      <c r="O33" s="234">
        <f t="shared" si="8"/>
        <v>0</v>
      </c>
      <c r="P33" s="123">
        <f t="shared" si="13"/>
        <v>2160.8391139480455</v>
      </c>
      <c r="Q33" s="123">
        <f t="shared" si="16"/>
        <v>0</v>
      </c>
      <c r="R33" s="239">
        <f t="shared" si="14"/>
        <v>2160.8391139480455</v>
      </c>
      <c r="S33" s="106"/>
      <c r="AA33" s="25" t="s">
        <v>14</v>
      </c>
      <c r="AB33" s="25"/>
      <c r="AC33" s="30">
        <f>(1+AC24)^Q10-1</f>
        <v>1.7062161191742531E-2</v>
      </c>
    </row>
    <row r="34" spans="2:29" hidden="1" x14ac:dyDescent="0.25">
      <c r="B34" s="114">
        <f t="shared" si="9"/>
        <v>18</v>
      </c>
      <c r="C34" s="114"/>
      <c r="D34" s="116">
        <f t="shared" si="10"/>
        <v>46039</v>
      </c>
      <c r="E34" s="118">
        <f t="shared" si="5"/>
        <v>595</v>
      </c>
      <c r="F34" s="117">
        <f t="shared" si="0"/>
        <v>0.84787492272732901</v>
      </c>
      <c r="G34" s="118">
        <f t="shared" si="6"/>
        <v>31</v>
      </c>
      <c r="H34" s="119">
        <f t="shared" si="1"/>
        <v>8.6348599092571643E-3</v>
      </c>
      <c r="I34" s="119">
        <f t="shared" si="7"/>
        <v>0</v>
      </c>
      <c r="J34" s="119">
        <f t="shared" si="15"/>
        <v>0.85876142112181408</v>
      </c>
      <c r="K34" s="109">
        <f t="shared" si="11"/>
        <v>77598.238703180032</v>
      </c>
      <c r="L34" s="234">
        <f t="shared" si="2"/>
        <v>76107.449509639046</v>
      </c>
      <c r="M34" s="234">
        <f t="shared" si="12"/>
        <v>1490.7891935409884</v>
      </c>
      <c r="N34" s="109">
        <f t="shared" si="4"/>
        <v>670.0499204070569</v>
      </c>
      <c r="O34" s="234">
        <f t="shared" si="8"/>
        <v>0</v>
      </c>
      <c r="P34" s="123">
        <f t="shared" si="13"/>
        <v>2160.8391139480455</v>
      </c>
      <c r="Q34" s="123">
        <f t="shared" si="16"/>
        <v>0</v>
      </c>
      <c r="R34" s="239">
        <f t="shared" si="14"/>
        <v>2160.8391139480455</v>
      </c>
      <c r="S34" s="106"/>
      <c r="AC34" s="14"/>
    </row>
    <row r="35" spans="2:29" hidden="1" x14ac:dyDescent="0.25">
      <c r="B35" s="114">
        <f t="shared" si="9"/>
        <v>19</v>
      </c>
      <c r="C35" s="114"/>
      <c r="D35" s="116">
        <f t="shared" si="10"/>
        <v>46070</v>
      </c>
      <c r="E35" s="118">
        <f t="shared" si="5"/>
        <v>626</v>
      </c>
      <c r="F35" s="117">
        <f t="shared" si="0"/>
        <v>0.84061631857896402</v>
      </c>
      <c r="G35" s="118">
        <f t="shared" si="6"/>
        <v>31</v>
      </c>
      <c r="H35" s="119">
        <f t="shared" si="1"/>
        <v>8.6348599092571643E-3</v>
      </c>
      <c r="I35" s="119">
        <f t="shared" si="7"/>
        <v>0</v>
      </c>
      <c r="J35" s="119">
        <f t="shared" si="15"/>
        <v>0.85140961834203654</v>
      </c>
      <c r="K35" s="109">
        <f t="shared" si="11"/>
        <v>76107.449509639046</v>
      </c>
      <c r="L35" s="234">
        <f t="shared" si="2"/>
        <v>74603.787560257595</v>
      </c>
      <c r="M35" s="234">
        <f t="shared" si="12"/>
        <v>1503.6619493814494</v>
      </c>
      <c r="N35" s="109">
        <f t="shared" si="4"/>
        <v>657.17716456659605</v>
      </c>
      <c r="O35" s="234">
        <f t="shared" si="8"/>
        <v>0</v>
      </c>
      <c r="P35" s="123">
        <f t="shared" si="13"/>
        <v>2160.8391139480455</v>
      </c>
      <c r="Q35" s="123">
        <f t="shared" si="16"/>
        <v>0</v>
      </c>
      <c r="R35" s="239">
        <f t="shared" si="14"/>
        <v>2160.8391139480455</v>
      </c>
      <c r="S35" s="106"/>
    </row>
    <row r="36" spans="2:29" hidden="1" x14ac:dyDescent="0.25">
      <c r="B36" s="114">
        <f t="shared" si="9"/>
        <v>20</v>
      </c>
      <c r="C36" s="114"/>
      <c r="D36" s="116">
        <f t="shared" si="10"/>
        <v>46098</v>
      </c>
      <c r="E36" s="118">
        <f t="shared" si="5"/>
        <v>654</v>
      </c>
      <c r="F36" s="117">
        <f t="shared" si="0"/>
        <v>0.83411358582540851</v>
      </c>
      <c r="G36" s="118">
        <f t="shared" si="6"/>
        <v>28</v>
      </c>
      <c r="H36" s="119">
        <f t="shared" si="1"/>
        <v>7.7959799049676093E-3</v>
      </c>
      <c r="I36" s="119">
        <f t="shared" si="7"/>
        <v>0</v>
      </c>
      <c r="J36" s="119">
        <f t="shared" si="15"/>
        <v>0.84482339215356084</v>
      </c>
      <c r="K36" s="109">
        <f t="shared" si="11"/>
        <v>74603.787560257595</v>
      </c>
      <c r="L36" s="234">
        <f t="shared" si="2"/>
        <v>73024.558074963788</v>
      </c>
      <c r="M36" s="234">
        <f t="shared" si="12"/>
        <v>1579.2294852938048</v>
      </c>
      <c r="N36" s="109">
        <f t="shared" si="4"/>
        <v>581.60962865424074</v>
      </c>
      <c r="O36" s="234">
        <f t="shared" si="8"/>
        <v>0</v>
      </c>
      <c r="P36" s="123">
        <f t="shared" si="13"/>
        <v>2160.8391139480455</v>
      </c>
      <c r="Q36" s="123">
        <f t="shared" si="16"/>
        <v>0</v>
      </c>
      <c r="R36" s="239">
        <f t="shared" si="14"/>
        <v>2160.8391139480455</v>
      </c>
      <c r="S36" s="106"/>
    </row>
    <row r="37" spans="2:29" hidden="1" x14ac:dyDescent="0.25">
      <c r="B37" s="114">
        <f t="shared" si="9"/>
        <v>21</v>
      </c>
      <c r="C37" s="114"/>
      <c r="D37" s="116">
        <f t="shared" si="10"/>
        <v>46129</v>
      </c>
      <c r="E37" s="118">
        <f t="shared" si="5"/>
        <v>685</v>
      </c>
      <c r="F37" s="117">
        <f t="shared" si="0"/>
        <v>0.82697279162099357</v>
      </c>
      <c r="G37" s="118">
        <f t="shared" si="6"/>
        <v>31</v>
      </c>
      <c r="H37" s="119">
        <f t="shared" si="1"/>
        <v>8.6348599092571643E-3</v>
      </c>
      <c r="I37" s="119">
        <f t="shared" si="7"/>
        <v>0</v>
      </c>
      <c r="J37" s="119">
        <f t="shared" si="15"/>
        <v>0.83759091196745494</v>
      </c>
      <c r="K37" s="109">
        <f t="shared" si="11"/>
        <v>73024.558074963788</v>
      </c>
      <c r="L37" s="234">
        <f t="shared" si="2"/>
        <v>71494.275789928462</v>
      </c>
      <c r="M37" s="234">
        <f t="shared" si="12"/>
        <v>1530.2822850353191</v>
      </c>
      <c r="N37" s="109">
        <f t="shared" si="4"/>
        <v>630.55682891272636</v>
      </c>
      <c r="O37" s="234">
        <f t="shared" si="8"/>
        <v>0</v>
      </c>
      <c r="P37" s="123">
        <f t="shared" si="13"/>
        <v>2160.8391139480455</v>
      </c>
      <c r="Q37" s="123">
        <f t="shared" si="16"/>
        <v>0</v>
      </c>
      <c r="R37" s="239">
        <f t="shared" si="14"/>
        <v>2160.8391139480455</v>
      </c>
      <c r="S37" s="106"/>
    </row>
    <row r="38" spans="2:29" hidden="1" x14ac:dyDescent="0.25">
      <c r="B38" s="114">
        <f t="shared" si="9"/>
        <v>22</v>
      </c>
      <c r="C38" s="114"/>
      <c r="D38" s="116">
        <f t="shared" si="10"/>
        <v>46159</v>
      </c>
      <c r="E38" s="118">
        <f t="shared" si="5"/>
        <v>715</v>
      </c>
      <c r="F38" s="117">
        <f t="shared" si="0"/>
        <v>0.82012055669049344</v>
      </c>
      <c r="G38" s="118">
        <f t="shared" si="6"/>
        <v>30</v>
      </c>
      <c r="H38" s="119">
        <f t="shared" si="1"/>
        <v>8.3551556836367613E-3</v>
      </c>
      <c r="I38" s="119">
        <f t="shared" si="7"/>
        <v>0</v>
      </c>
      <c r="J38" s="119">
        <f t="shared" si="15"/>
        <v>0.8306506960829606</v>
      </c>
      <c r="K38" s="109">
        <f t="shared" si="11"/>
        <v>71494.275789928462</v>
      </c>
      <c r="L38" s="234">
        <f t="shared" si="2"/>
        <v>69930.782480694135</v>
      </c>
      <c r="M38" s="234">
        <f t="shared" si="12"/>
        <v>1563.4933092343306</v>
      </c>
      <c r="N38" s="109">
        <f t="shared" si="4"/>
        <v>597.34580471371487</v>
      </c>
      <c r="O38" s="234">
        <f t="shared" si="8"/>
        <v>0</v>
      </c>
      <c r="P38" s="123">
        <f t="shared" si="13"/>
        <v>2160.8391139480455</v>
      </c>
      <c r="Q38" s="123">
        <f t="shared" si="16"/>
        <v>0</v>
      </c>
      <c r="R38" s="239">
        <f t="shared" si="14"/>
        <v>2160.8391139480455</v>
      </c>
      <c r="S38" s="106"/>
    </row>
    <row r="39" spans="2:29" hidden="1" x14ac:dyDescent="0.25">
      <c r="B39" s="114">
        <f t="shared" si="9"/>
        <v>23</v>
      </c>
      <c r="C39" s="114"/>
      <c r="D39" s="116">
        <f t="shared" si="10"/>
        <v>46190</v>
      </c>
      <c r="E39" s="118">
        <f t="shared" si="5"/>
        <v>746</v>
      </c>
      <c r="F39" s="117">
        <f t="shared" si="0"/>
        <v>0.81309955593273497</v>
      </c>
      <c r="G39" s="118">
        <f t="shared" si="6"/>
        <v>31</v>
      </c>
      <c r="H39" s="119">
        <f t="shared" si="1"/>
        <v>8.6348599092571643E-3</v>
      </c>
      <c r="I39" s="119">
        <f t="shared" si="7"/>
        <v>0</v>
      </c>
      <c r="J39" s="119">
        <f t="shared" si="15"/>
        <v>0.82353954746090263</v>
      </c>
      <c r="K39" s="109">
        <f t="shared" si="11"/>
        <v>69930.782480694135</v>
      </c>
      <c r="L39" s="234">
        <f t="shared" si="2"/>
        <v>68373.785876811613</v>
      </c>
      <c r="M39" s="234">
        <f t="shared" si="12"/>
        <v>1556.9966038825164</v>
      </c>
      <c r="N39" s="109">
        <f t="shared" si="4"/>
        <v>603.84251006552904</v>
      </c>
      <c r="O39" s="234">
        <f t="shared" si="8"/>
        <v>0</v>
      </c>
      <c r="P39" s="123">
        <f t="shared" si="13"/>
        <v>2160.8391139480455</v>
      </c>
      <c r="Q39" s="123">
        <f t="shared" si="16"/>
        <v>0</v>
      </c>
      <c r="R39" s="239">
        <f t="shared" si="14"/>
        <v>2160.8391139480455</v>
      </c>
      <c r="S39" s="106"/>
    </row>
    <row r="40" spans="2:29" hidden="1" x14ac:dyDescent="0.25">
      <c r="B40" s="114">
        <f t="shared" si="9"/>
        <v>24</v>
      </c>
      <c r="C40" s="114"/>
      <c r="D40" s="116">
        <f t="shared" si="10"/>
        <v>46220</v>
      </c>
      <c r="E40" s="118">
        <f t="shared" si="5"/>
        <v>776</v>
      </c>
      <c r="F40" s="117">
        <f t="shared" si="0"/>
        <v>0.80636227359940027</v>
      </c>
      <c r="G40" s="118">
        <f t="shared" si="6"/>
        <v>30</v>
      </c>
      <c r="H40" s="119">
        <f t="shared" si="1"/>
        <v>8.3551556836367613E-3</v>
      </c>
      <c r="I40" s="119">
        <f t="shared" si="7"/>
        <v>0</v>
      </c>
      <c r="J40" s="119">
        <f t="shared" si="15"/>
        <v>0.81671576013568925</v>
      </c>
      <c r="K40" s="109">
        <f t="shared" si="11"/>
        <v>68373.785876811613</v>
      </c>
      <c r="L40" s="234">
        <f t="shared" si="2"/>
        <v>66784.220388543967</v>
      </c>
      <c r="M40" s="234">
        <f t="shared" si="12"/>
        <v>1589.5654882676399</v>
      </c>
      <c r="N40" s="109">
        <f t="shared" si="4"/>
        <v>571.27362568040542</v>
      </c>
      <c r="O40" s="234">
        <f t="shared" si="8"/>
        <v>0</v>
      </c>
      <c r="P40" s="123">
        <f t="shared" si="13"/>
        <v>2160.8391139480455</v>
      </c>
      <c r="Q40" s="123">
        <f t="shared" si="16"/>
        <v>0</v>
      </c>
      <c r="R40" s="239">
        <f t="shared" si="14"/>
        <v>2160.8391139480455</v>
      </c>
      <c r="S40" s="106"/>
    </row>
    <row r="41" spans="2:29" hidden="1" x14ac:dyDescent="0.25">
      <c r="B41" s="114">
        <f t="shared" si="9"/>
        <v>25</v>
      </c>
      <c r="C41" s="114"/>
      <c r="D41" s="116">
        <f t="shared" si="10"/>
        <v>46251</v>
      </c>
      <c r="E41" s="118">
        <f t="shared" si="5"/>
        <v>807</v>
      </c>
      <c r="F41" s="117">
        <f t="shared" si="0"/>
        <v>0.79945905664210881</v>
      </c>
      <c r="G41" s="118">
        <f t="shared" si="6"/>
        <v>31</v>
      </c>
      <c r="H41" s="119">
        <f t="shared" si="1"/>
        <v>8.6348599092571643E-3</v>
      </c>
      <c r="I41" s="119">
        <f t="shared" si="7"/>
        <v>0</v>
      </c>
      <c r="J41" s="119">
        <f t="shared" si="15"/>
        <v>0.80972390762814395</v>
      </c>
      <c r="K41" s="109">
        <f t="shared" si="11"/>
        <v>66784.220388543967</v>
      </c>
      <c r="L41" s="234">
        <f t="shared" si="2"/>
        <v>65200.053661799953</v>
      </c>
      <c r="M41" s="234">
        <f t="shared" si="12"/>
        <v>1584.1667267440121</v>
      </c>
      <c r="N41" s="109">
        <f t="shared" si="4"/>
        <v>576.67238720403327</v>
      </c>
      <c r="O41" s="234">
        <f t="shared" si="8"/>
        <v>0</v>
      </c>
      <c r="P41" s="123">
        <f t="shared" si="13"/>
        <v>2160.8391139480455</v>
      </c>
      <c r="Q41" s="123">
        <f t="shared" si="16"/>
        <v>0</v>
      </c>
      <c r="R41" s="239">
        <f t="shared" si="14"/>
        <v>2160.8391139480455</v>
      </c>
      <c r="S41" s="106"/>
    </row>
    <row r="42" spans="2:29" hidden="1" x14ac:dyDescent="0.25">
      <c r="B42" s="114">
        <f t="shared" si="9"/>
        <v>26</v>
      </c>
      <c r="C42" s="114"/>
      <c r="D42" s="116">
        <f t="shared" si="10"/>
        <v>46282</v>
      </c>
      <c r="E42" s="118">
        <f t="shared" si="5"/>
        <v>838</v>
      </c>
      <c r="F42" s="117">
        <f t="shared" si="0"/>
        <v>0.79261493769314373</v>
      </c>
      <c r="G42" s="118">
        <f t="shared" si="6"/>
        <v>31</v>
      </c>
      <c r="H42" s="119">
        <f t="shared" si="1"/>
        <v>8.6348599092571643E-3</v>
      </c>
      <c r="I42" s="119">
        <f t="shared" si="7"/>
        <v>0</v>
      </c>
      <c r="J42" s="119">
        <f t="shared" si="15"/>
        <v>0.80279191193232358</v>
      </c>
      <c r="K42" s="109">
        <f t="shared" si="11"/>
        <v>65200.053661799953</v>
      </c>
      <c r="L42" s="234">
        <f t="shared" si="2"/>
        <v>63602.207877297602</v>
      </c>
      <c r="M42" s="234">
        <f t="shared" si="12"/>
        <v>1597.8457845023531</v>
      </c>
      <c r="N42" s="109">
        <f t="shared" si="4"/>
        <v>562.99332944569221</v>
      </c>
      <c r="O42" s="234">
        <f t="shared" si="8"/>
        <v>0</v>
      </c>
      <c r="P42" s="123">
        <f t="shared" si="13"/>
        <v>2160.8391139480455</v>
      </c>
      <c r="Q42" s="123">
        <f t="shared" si="16"/>
        <v>0</v>
      </c>
      <c r="R42" s="239">
        <f t="shared" si="14"/>
        <v>2160.8391139480455</v>
      </c>
      <c r="S42" s="106"/>
    </row>
    <row r="43" spans="2:29" hidden="1" x14ac:dyDescent="0.25">
      <c r="B43" s="114">
        <f t="shared" si="9"/>
        <v>27</v>
      </c>
      <c r="C43" s="114"/>
      <c r="D43" s="116">
        <f t="shared" si="10"/>
        <v>46312</v>
      </c>
      <c r="E43" s="118">
        <f t="shared" si="5"/>
        <v>868</v>
      </c>
      <c r="F43" s="117">
        <f t="shared" si="0"/>
        <v>0.78604738938015595</v>
      </c>
      <c r="G43" s="118">
        <f t="shared" si="6"/>
        <v>30</v>
      </c>
      <c r="H43" s="119">
        <f t="shared" si="1"/>
        <v>8.3551556836367613E-3</v>
      </c>
      <c r="I43" s="119">
        <f t="shared" si="7"/>
        <v>0</v>
      </c>
      <c r="J43" s="119">
        <f t="shared" si="15"/>
        <v>0.79614003796911514</v>
      </c>
      <c r="K43" s="109">
        <f t="shared" si="11"/>
        <v>63602.207877297602</v>
      </c>
      <c r="L43" s="234">
        <f t="shared" si="2"/>
        <v>61972.775111987408</v>
      </c>
      <c r="M43" s="234">
        <f t="shared" si="12"/>
        <v>1629.4327653101955</v>
      </c>
      <c r="N43" s="109">
        <f t="shared" si="4"/>
        <v>531.40634863784987</v>
      </c>
      <c r="O43" s="234">
        <f t="shared" si="8"/>
        <v>0</v>
      </c>
      <c r="P43" s="123">
        <f t="shared" si="13"/>
        <v>2160.8391139480455</v>
      </c>
      <c r="Q43" s="123">
        <f t="shared" si="16"/>
        <v>0</v>
      </c>
      <c r="R43" s="239">
        <f t="shared" si="14"/>
        <v>2160.8391139480455</v>
      </c>
      <c r="S43" s="106"/>
    </row>
    <row r="44" spans="2:29" hidden="1" x14ac:dyDescent="0.25">
      <c r="B44" s="114">
        <f t="shared" si="9"/>
        <v>28</v>
      </c>
      <c r="C44" s="114"/>
      <c r="D44" s="116">
        <f t="shared" si="10"/>
        <v>46343</v>
      </c>
      <c r="E44" s="118">
        <f t="shared" si="5"/>
        <v>899</v>
      </c>
      <c r="F44" s="117">
        <f t="shared" si="0"/>
        <v>0.77931808687523785</v>
      </c>
      <c r="G44" s="118">
        <f t="shared" si="6"/>
        <v>31</v>
      </c>
      <c r="H44" s="119">
        <f t="shared" si="1"/>
        <v>8.6348599092571643E-3</v>
      </c>
      <c r="I44" s="119">
        <f t="shared" si="7"/>
        <v>0</v>
      </c>
      <c r="J44" s="119">
        <f t="shared" si="15"/>
        <v>0.78932433293128568</v>
      </c>
      <c r="K44" s="109">
        <f t="shared" si="11"/>
        <v>61972.775111987408</v>
      </c>
      <c r="L44" s="234">
        <f t="shared" si="2"/>
        <v>60347.062229319272</v>
      </c>
      <c r="M44" s="234">
        <f t="shared" si="12"/>
        <v>1625.7128826681351</v>
      </c>
      <c r="N44" s="109">
        <f t="shared" si="4"/>
        <v>535.12623127991026</v>
      </c>
      <c r="O44" s="234">
        <f t="shared" si="8"/>
        <v>0</v>
      </c>
      <c r="P44" s="123">
        <f t="shared" si="13"/>
        <v>2160.8391139480455</v>
      </c>
      <c r="Q44" s="123">
        <f t="shared" si="16"/>
        <v>0</v>
      </c>
      <c r="R44" s="239">
        <f t="shared" si="14"/>
        <v>2160.8391139480455</v>
      </c>
      <c r="S44" s="106"/>
    </row>
    <row r="45" spans="2:29" hidden="1" x14ac:dyDescent="0.25">
      <c r="B45" s="114">
        <f t="shared" si="9"/>
        <v>29</v>
      </c>
      <c r="C45" s="114"/>
      <c r="D45" s="116">
        <f t="shared" si="10"/>
        <v>46373</v>
      </c>
      <c r="E45" s="118">
        <f t="shared" si="5"/>
        <v>929</v>
      </c>
      <c r="F45" s="117">
        <f t="shared" si="0"/>
        <v>0.77286071527732869</v>
      </c>
      <c r="G45" s="118">
        <f t="shared" si="6"/>
        <v>30</v>
      </c>
      <c r="H45" s="119">
        <f t="shared" si="1"/>
        <v>8.3551556836367613E-3</v>
      </c>
      <c r="I45" s="119">
        <f t="shared" si="7"/>
        <v>0</v>
      </c>
      <c r="J45" s="119">
        <f t="shared" si="15"/>
        <v>0.78278405032415954</v>
      </c>
      <c r="K45" s="109">
        <f t="shared" si="11"/>
        <v>60347.062229319272</v>
      </c>
      <c r="L45" s="234">
        <f t="shared" si="2"/>
        <v>58690.432215347304</v>
      </c>
      <c r="M45" s="234">
        <f t="shared" si="12"/>
        <v>1656.6300139719672</v>
      </c>
      <c r="N45" s="109">
        <f t="shared" si="4"/>
        <v>504.20909997607822</v>
      </c>
      <c r="O45" s="234">
        <f t="shared" si="8"/>
        <v>0</v>
      </c>
      <c r="P45" s="123">
        <f t="shared" si="13"/>
        <v>2160.8391139480455</v>
      </c>
      <c r="Q45" s="123">
        <f t="shared" si="16"/>
        <v>0</v>
      </c>
      <c r="R45" s="239">
        <f t="shared" si="14"/>
        <v>2160.8391139480455</v>
      </c>
      <c r="S45" s="106"/>
    </row>
    <row r="46" spans="2:29" hidden="1" x14ac:dyDescent="0.25">
      <c r="B46" s="114">
        <f t="shared" si="9"/>
        <v>30</v>
      </c>
      <c r="C46" s="114"/>
      <c r="D46" s="116">
        <f t="shared" si="10"/>
        <v>46404</v>
      </c>
      <c r="E46" s="118">
        <f t="shared" si="5"/>
        <v>960</v>
      </c>
      <c r="F46" s="117">
        <f t="shared" si="0"/>
        <v>0.7662443030641034</v>
      </c>
      <c r="G46" s="118">
        <f t="shared" si="6"/>
        <v>31</v>
      </c>
      <c r="H46" s="119">
        <f t="shared" si="1"/>
        <v>8.6348599092571643E-3</v>
      </c>
      <c r="I46" s="119">
        <f t="shared" si="7"/>
        <v>0</v>
      </c>
      <c r="J46" s="119">
        <f t="shared" si="15"/>
        <v>0.77608268506066058</v>
      </c>
      <c r="K46" s="109">
        <f t="shared" si="11"/>
        <v>58690.432215347304</v>
      </c>
      <c r="L46" s="234">
        <f t="shared" si="2"/>
        <v>57036.376761592539</v>
      </c>
      <c r="M46" s="234">
        <f t="shared" si="12"/>
        <v>1654.0554537547678</v>
      </c>
      <c r="N46" s="109">
        <f t="shared" si="4"/>
        <v>506.78366019327757</v>
      </c>
      <c r="O46" s="234">
        <f t="shared" si="8"/>
        <v>0</v>
      </c>
      <c r="P46" s="123">
        <f t="shared" si="13"/>
        <v>2160.8391139480455</v>
      </c>
      <c r="Q46" s="123">
        <f t="shared" si="16"/>
        <v>0</v>
      </c>
      <c r="R46" s="239">
        <f t="shared" si="14"/>
        <v>2160.8391139480455</v>
      </c>
      <c r="S46" s="106"/>
    </row>
    <row r="47" spans="2:29" hidden="1" x14ac:dyDescent="0.25">
      <c r="B47" s="114">
        <f t="shared" si="9"/>
        <v>31</v>
      </c>
      <c r="C47" s="114"/>
      <c r="D47" s="116">
        <f t="shared" si="10"/>
        <v>46435</v>
      </c>
      <c r="E47" s="118">
        <f t="shared" si="5"/>
        <v>991</v>
      </c>
      <c r="F47" s="117">
        <f t="shared" si="0"/>
        <v>0.75968453354174104</v>
      </c>
      <c r="G47" s="118">
        <f t="shared" si="6"/>
        <v>31</v>
      </c>
      <c r="H47" s="119">
        <f t="shared" si="1"/>
        <v>8.6348599092571643E-3</v>
      </c>
      <c r="I47" s="119">
        <f t="shared" si="7"/>
        <v>0</v>
      </c>
      <c r="J47" s="119">
        <f t="shared" si="15"/>
        <v>0.76943868976577079</v>
      </c>
      <c r="K47" s="109">
        <f t="shared" si="11"/>
        <v>57036.376761592539</v>
      </c>
      <c r="L47" s="234">
        <f t="shared" si="2"/>
        <v>55368.038770712454</v>
      </c>
      <c r="M47" s="234">
        <f t="shared" si="12"/>
        <v>1668.337990880083</v>
      </c>
      <c r="N47" s="109">
        <f t="shared" si="4"/>
        <v>492.5011230679624</v>
      </c>
      <c r="O47" s="234">
        <f t="shared" si="8"/>
        <v>0</v>
      </c>
      <c r="P47" s="123">
        <f t="shared" si="13"/>
        <v>2160.8391139480455</v>
      </c>
      <c r="Q47" s="123">
        <f t="shared" si="16"/>
        <v>0</v>
      </c>
      <c r="R47" s="239">
        <f t="shared" si="14"/>
        <v>2160.8391139480455</v>
      </c>
      <c r="S47" s="106"/>
    </row>
    <row r="48" spans="2:29" hidden="1" x14ac:dyDescent="0.25">
      <c r="B48" s="114">
        <f t="shared" si="9"/>
        <v>32</v>
      </c>
      <c r="C48" s="114"/>
      <c r="D48" s="116">
        <f t="shared" si="10"/>
        <v>46463</v>
      </c>
      <c r="E48" s="118">
        <f t="shared" si="5"/>
        <v>1019</v>
      </c>
      <c r="F48" s="117">
        <f t="shared" ref="F48:F79" si="17">IF(OR($B49="",$B49=$B$15), $B49, (1/(1+$AC$24)^E48))</f>
        <v>0.75380786259276122</v>
      </c>
      <c r="G48" s="118">
        <f t="shared" si="6"/>
        <v>28</v>
      </c>
      <c r="H48" s="119">
        <f t="shared" ref="H48:H79" si="18">IF(OR($B49="",$B49=$B$15), $B49,((1+$AC$24)^G48-1))</f>
        <v>7.7959799049676093E-3</v>
      </c>
      <c r="I48" s="119">
        <f t="shared" si="7"/>
        <v>0</v>
      </c>
      <c r="J48" s="119">
        <f t="shared" si="15"/>
        <v>0.76348656385623481</v>
      </c>
      <c r="K48" s="109">
        <f t="shared" si="11"/>
        <v>55368.038770712454</v>
      </c>
      <c r="L48" s="234">
        <f t="shared" si="2"/>
        <v>53638.847774398353</v>
      </c>
      <c r="M48" s="234">
        <f t="shared" si="12"/>
        <v>1729.1909963141036</v>
      </c>
      <c r="N48" s="109">
        <f t="shared" si="4"/>
        <v>431.64811763394181</v>
      </c>
      <c r="O48" s="234">
        <f t="shared" si="8"/>
        <v>0</v>
      </c>
      <c r="P48" s="123">
        <f t="shared" si="13"/>
        <v>2160.8391139480455</v>
      </c>
      <c r="Q48" s="123">
        <f t="shared" si="16"/>
        <v>0</v>
      </c>
      <c r="R48" s="239">
        <f t="shared" si="14"/>
        <v>2160.8391139480455</v>
      </c>
      <c r="S48" s="106"/>
    </row>
    <row r="49" spans="2:19" hidden="1" x14ac:dyDescent="0.25">
      <c r="B49" s="114">
        <f t="shared" si="9"/>
        <v>33</v>
      </c>
      <c r="C49" s="114"/>
      <c r="D49" s="116">
        <f t="shared" si="10"/>
        <v>46494</v>
      </c>
      <c r="E49" s="118">
        <f t="shared" ref="E49:E80" si="19">IF(OR($B50="",$B50=$B$15),$B50,$D49-$U$6)</f>
        <v>1050</v>
      </c>
      <c r="F49" s="117">
        <f t="shared" si="17"/>
        <v>0.7473545606589268</v>
      </c>
      <c r="G49" s="118">
        <f t="shared" si="6"/>
        <v>31</v>
      </c>
      <c r="H49" s="119">
        <f t="shared" si="18"/>
        <v>8.6348599092571643E-3</v>
      </c>
      <c r="I49" s="119">
        <f t="shared" ref="I49:I80" si="20">IF(OR($B50="",$B50=$B$15), $B50,(($Q$11/30)*G49))</f>
        <v>0</v>
      </c>
      <c r="J49" s="119">
        <f t="shared" si="15"/>
        <v>0.7569504031666352</v>
      </c>
      <c r="K49" s="109">
        <f t="shared" si="11"/>
        <v>53638.847774398353</v>
      </c>
      <c r="L49" s="234">
        <f t="shared" si="2"/>
        <v>51941.17259667621</v>
      </c>
      <c r="M49" s="234">
        <f t="shared" si="12"/>
        <v>1697.6751777221452</v>
      </c>
      <c r="N49" s="109">
        <f t="shared" si="4"/>
        <v>463.16393622590022</v>
      </c>
      <c r="O49" s="234">
        <f t="shared" si="8"/>
        <v>0</v>
      </c>
      <c r="P49" s="123">
        <f t="shared" si="13"/>
        <v>2160.8391139480455</v>
      </c>
      <c r="Q49" s="123">
        <f t="shared" si="16"/>
        <v>0</v>
      </c>
      <c r="R49" s="239">
        <f t="shared" si="14"/>
        <v>2160.8391139480455</v>
      </c>
      <c r="S49" s="106"/>
    </row>
    <row r="50" spans="2:19" hidden="1" x14ac:dyDescent="0.25">
      <c r="B50" s="114">
        <f t="shared" ref="B50:B81" si="21">IF( $B49=$Q$10,$B$15,IF(OR($B49="",$B49=$B$15),"",$B49+1) )</f>
        <v>34</v>
      </c>
      <c r="C50" s="114"/>
      <c r="D50" s="116">
        <f t="shared" ref="D50:D81" si="22">IF(OR($B51="",$B51=$B$15),$B51,IF(DAY(EOMONTH($D49,$AC$27))&lt;$U$9,EOMONTH($D49,$AC$27),DATE(YEAR(EOMONTH($D49,$AC$27)),MONTH(EOMONTH($D49,$AC$27)),$U$9)))</f>
        <v>46524</v>
      </c>
      <c r="E50" s="118">
        <f t="shared" si="19"/>
        <v>1080</v>
      </c>
      <c r="F50" s="117">
        <f t="shared" si="17"/>
        <v>0.74116203645752265</v>
      </c>
      <c r="G50" s="118">
        <f t="shared" si="6"/>
        <v>30</v>
      </c>
      <c r="H50" s="119">
        <f t="shared" si="18"/>
        <v>8.3551556836367613E-3</v>
      </c>
      <c r="I50" s="119">
        <f t="shared" si="20"/>
        <v>0</v>
      </c>
      <c r="J50" s="119">
        <f t="shared" si="15"/>
        <v>0.75067836852923497</v>
      </c>
      <c r="K50" s="109">
        <f t="shared" si="11"/>
        <v>51941.17259667621</v>
      </c>
      <c r="L50" s="234">
        <f t="shared" si="2"/>
        <v>50214.310066164042</v>
      </c>
      <c r="M50" s="234">
        <f t="shared" si="12"/>
        <v>1726.8625305121682</v>
      </c>
      <c r="N50" s="109">
        <f t="shared" si="4"/>
        <v>433.97658343587722</v>
      </c>
      <c r="O50" s="234">
        <f t="shared" si="8"/>
        <v>0</v>
      </c>
      <c r="P50" s="123">
        <f t="shared" si="13"/>
        <v>2160.8391139480455</v>
      </c>
      <c r="Q50" s="123">
        <f t="shared" si="16"/>
        <v>0</v>
      </c>
      <c r="R50" s="239">
        <f t="shared" si="14"/>
        <v>2160.8391139480455</v>
      </c>
      <c r="S50" s="106"/>
    </row>
    <row r="51" spans="2:19" hidden="1" x14ac:dyDescent="0.25">
      <c r="B51" s="114">
        <f t="shared" si="21"/>
        <v>35</v>
      </c>
      <c r="C51" s="114"/>
      <c r="D51" s="116">
        <f t="shared" si="22"/>
        <v>46555</v>
      </c>
      <c r="E51" s="118">
        <f t="shared" si="19"/>
        <v>1111</v>
      </c>
      <c r="F51" s="117">
        <f t="shared" si="17"/>
        <v>0.73481699464978045</v>
      </c>
      <c r="G51" s="118">
        <f t="shared" si="6"/>
        <v>31</v>
      </c>
      <c r="H51" s="119">
        <f t="shared" si="18"/>
        <v>8.6348599092571643E-3</v>
      </c>
      <c r="I51" s="119">
        <f t="shared" si="20"/>
        <v>0</v>
      </c>
      <c r="J51" s="119">
        <f t="shared" si="15"/>
        <v>0.74425185799821603</v>
      </c>
      <c r="K51" s="109">
        <f t="shared" si="11"/>
        <v>50214.310066164042</v>
      </c>
      <c r="L51" s="234">
        <f t="shared" si="2"/>
        <v>48487.064485077324</v>
      </c>
      <c r="M51" s="234">
        <f t="shared" si="12"/>
        <v>1727.245581086717</v>
      </c>
      <c r="N51" s="109">
        <f t="shared" si="4"/>
        <v>433.59353286132836</v>
      </c>
      <c r="O51" s="234">
        <f t="shared" si="8"/>
        <v>0</v>
      </c>
      <c r="P51" s="123">
        <f t="shared" si="13"/>
        <v>2160.8391139480455</v>
      </c>
      <c r="Q51" s="123">
        <f t="shared" si="16"/>
        <v>0</v>
      </c>
      <c r="R51" s="239">
        <f t="shared" si="14"/>
        <v>2160.8391139480455</v>
      </c>
      <c r="S51" s="106"/>
    </row>
    <row r="52" spans="2:19" hidden="1" x14ac:dyDescent="0.25">
      <c r="B52" s="114">
        <f t="shared" si="21"/>
        <v>36</v>
      </c>
      <c r="C52" s="114"/>
      <c r="D52" s="116">
        <f t="shared" si="22"/>
        <v>46585</v>
      </c>
      <c r="E52" s="118">
        <f t="shared" si="19"/>
        <v>1141</v>
      </c>
      <c r="F52" s="117">
        <f t="shared" si="17"/>
        <v>0.72872835578610673</v>
      </c>
      <c r="G52" s="118">
        <f t="shared" si="6"/>
        <v>30</v>
      </c>
      <c r="H52" s="119">
        <f t="shared" si="18"/>
        <v>8.3551556836367613E-3</v>
      </c>
      <c r="I52" s="119">
        <f t="shared" si="20"/>
        <v>0</v>
      </c>
      <c r="J52" s="119">
        <f t="shared" si="15"/>
        <v>0.73808504255986473</v>
      </c>
      <c r="K52" s="109">
        <f t="shared" si="11"/>
        <v>48487.064485077324</v>
      </c>
      <c r="L52" s="234">
        <f t="shared" si="2"/>
        <v>46731.342343544631</v>
      </c>
      <c r="M52" s="234">
        <f t="shared" si="12"/>
        <v>1755.7221415326894</v>
      </c>
      <c r="N52" s="109">
        <f t="shared" si="4"/>
        <v>405.11697241535597</v>
      </c>
      <c r="O52" s="234">
        <f t="shared" si="8"/>
        <v>0</v>
      </c>
      <c r="P52" s="123">
        <f t="shared" si="13"/>
        <v>2160.8391139480455</v>
      </c>
      <c r="Q52" s="123">
        <f t="shared" si="16"/>
        <v>0</v>
      </c>
      <c r="R52" s="239">
        <f t="shared" si="14"/>
        <v>2160.8391139480455</v>
      </c>
      <c r="S52" s="106"/>
    </row>
    <row r="53" spans="2:19" hidden="1" x14ac:dyDescent="0.25">
      <c r="B53" s="114">
        <f t="shared" si="21"/>
        <v>37</v>
      </c>
      <c r="C53" s="114"/>
      <c r="D53" s="116">
        <f t="shared" si="22"/>
        <v>46616</v>
      </c>
      <c r="E53" s="118">
        <f t="shared" si="19"/>
        <v>1172</v>
      </c>
      <c r="F53" s="117">
        <f t="shared" si="17"/>
        <v>0.72248975794041759</v>
      </c>
      <c r="G53" s="118">
        <f t="shared" si="6"/>
        <v>31</v>
      </c>
      <c r="H53" s="119">
        <f t="shared" si="18"/>
        <v>8.6348599092571643E-3</v>
      </c>
      <c r="I53" s="119">
        <f t="shared" si="20"/>
        <v>0</v>
      </c>
      <c r="J53" s="119">
        <f t="shared" si="15"/>
        <v>0.73176634270430363</v>
      </c>
      <c r="K53" s="109">
        <f t="shared" si="11"/>
        <v>46731.342343544631</v>
      </c>
      <c r="L53" s="234">
        <f t="shared" si="2"/>
        <v>44974.021824104631</v>
      </c>
      <c r="M53" s="234">
        <f t="shared" si="12"/>
        <v>1757.3205194400002</v>
      </c>
      <c r="N53" s="109">
        <f t="shared" si="4"/>
        <v>403.51859450804528</v>
      </c>
      <c r="O53" s="234">
        <f t="shared" si="8"/>
        <v>0</v>
      </c>
      <c r="P53" s="123">
        <f t="shared" si="13"/>
        <v>2160.8391139480455</v>
      </c>
      <c r="Q53" s="123">
        <f t="shared" si="16"/>
        <v>0</v>
      </c>
      <c r="R53" s="239">
        <f t="shared" si="14"/>
        <v>2160.8391139480455</v>
      </c>
      <c r="S53" s="106"/>
    </row>
    <row r="54" spans="2:19" hidden="1" x14ac:dyDescent="0.25">
      <c r="B54" s="114">
        <f t="shared" si="21"/>
        <v>38</v>
      </c>
      <c r="C54" s="114"/>
      <c r="D54" s="116">
        <f t="shared" si="22"/>
        <v>46647</v>
      </c>
      <c r="E54" s="118">
        <f t="shared" si="19"/>
        <v>1203</v>
      </c>
      <c r="F54" s="117">
        <f t="shared" si="17"/>
        <v>0.71630456834043699</v>
      </c>
      <c r="G54" s="118">
        <f t="shared" si="6"/>
        <v>31</v>
      </c>
      <c r="H54" s="119">
        <f t="shared" si="18"/>
        <v>8.6348599092571643E-3</v>
      </c>
      <c r="I54" s="119">
        <f t="shared" si="20"/>
        <v>0</v>
      </c>
      <c r="J54" s="119">
        <f t="shared" si="15"/>
        <v>0.72550173684274377</v>
      </c>
      <c r="K54" s="109">
        <f t="shared" si="11"/>
        <v>44974.021824104631</v>
      </c>
      <c r="L54" s="234">
        <f t="shared" si="2"/>
        <v>43201.527088163602</v>
      </c>
      <c r="M54" s="234">
        <f t="shared" si="12"/>
        <v>1772.4947359410276</v>
      </c>
      <c r="N54" s="109">
        <f t="shared" si="4"/>
        <v>388.34437800701784</v>
      </c>
      <c r="O54" s="234">
        <f t="shared" si="8"/>
        <v>0</v>
      </c>
      <c r="P54" s="123">
        <f t="shared" si="13"/>
        <v>2160.8391139480455</v>
      </c>
      <c r="Q54" s="123">
        <f t="shared" si="16"/>
        <v>0</v>
      </c>
      <c r="R54" s="239">
        <f t="shared" si="14"/>
        <v>2160.8391139480455</v>
      </c>
      <c r="S54" s="106"/>
    </row>
    <row r="55" spans="2:19" hidden="1" x14ac:dyDescent="0.25">
      <c r="B55" s="114">
        <f t="shared" si="21"/>
        <v>39</v>
      </c>
      <c r="C55" s="114"/>
      <c r="D55" s="116">
        <f t="shared" si="22"/>
        <v>46677</v>
      </c>
      <c r="E55" s="118">
        <f t="shared" si="19"/>
        <v>1233</v>
      </c>
      <c r="F55" s="117">
        <f t="shared" si="17"/>
        <v>0.71036932206173142</v>
      </c>
      <c r="G55" s="118">
        <f t="shared" si="6"/>
        <v>30</v>
      </c>
      <c r="H55" s="119">
        <f t="shared" si="18"/>
        <v>8.3551556836367613E-3</v>
      </c>
      <c r="I55" s="119">
        <f t="shared" si="20"/>
        <v>0</v>
      </c>
      <c r="J55" s="119">
        <f t="shared" si="15"/>
        <v>0.71949028351114419</v>
      </c>
      <c r="K55" s="109">
        <f t="shared" si="11"/>
        <v>43201.527088163602</v>
      </c>
      <c r="L55" s="234">
        <f t="shared" si="2"/>
        <v>41401.643458808016</v>
      </c>
      <c r="M55" s="234">
        <f t="shared" si="12"/>
        <v>1799.8836293555878</v>
      </c>
      <c r="N55" s="109">
        <f t="shared" si="4"/>
        <v>360.95548459245765</v>
      </c>
      <c r="O55" s="234">
        <f t="shared" si="8"/>
        <v>0</v>
      </c>
      <c r="P55" s="123">
        <f t="shared" si="13"/>
        <v>2160.8391139480455</v>
      </c>
      <c r="Q55" s="123">
        <f t="shared" si="16"/>
        <v>0</v>
      </c>
      <c r="R55" s="239">
        <f t="shared" si="14"/>
        <v>2160.8391139480455</v>
      </c>
      <c r="S55" s="106"/>
    </row>
    <row r="56" spans="2:19" hidden="1" x14ac:dyDescent="0.25">
      <c r="B56" s="114">
        <f t="shared" si="21"/>
        <v>40</v>
      </c>
      <c r="C56" s="114"/>
      <c r="D56" s="116">
        <f t="shared" si="22"/>
        <v>46708</v>
      </c>
      <c r="E56" s="118">
        <f t="shared" si="19"/>
        <v>1264</v>
      </c>
      <c r="F56" s="117">
        <f t="shared" si="17"/>
        <v>0.70428789475473852</v>
      </c>
      <c r="G56" s="118">
        <f t="shared" si="6"/>
        <v>31</v>
      </c>
      <c r="H56" s="119">
        <f t="shared" si="18"/>
        <v>8.6348599092571643E-3</v>
      </c>
      <c r="I56" s="119">
        <f t="shared" si="20"/>
        <v>0</v>
      </c>
      <c r="J56" s="119">
        <f t="shared" si="15"/>
        <v>0.71333077222402752</v>
      </c>
      <c r="K56" s="109">
        <f t="shared" si="11"/>
        <v>41401.643458808016</v>
      </c>
      <c r="L56" s="234">
        <f t="shared" si="2"/>
        <v>39598.301736139794</v>
      </c>
      <c r="M56" s="234">
        <f t="shared" si="12"/>
        <v>1803.341722668225</v>
      </c>
      <c r="N56" s="109">
        <f t="shared" si="4"/>
        <v>357.49739127982048</v>
      </c>
      <c r="O56" s="234">
        <f t="shared" si="8"/>
        <v>0</v>
      </c>
      <c r="P56" s="123">
        <f t="shared" si="13"/>
        <v>2160.8391139480455</v>
      </c>
      <c r="Q56" s="123">
        <f t="shared" si="16"/>
        <v>0</v>
      </c>
      <c r="R56" s="239">
        <f t="shared" si="14"/>
        <v>2160.8391139480455</v>
      </c>
      <c r="S56" s="106"/>
    </row>
    <row r="57" spans="2:19" hidden="1" x14ac:dyDescent="0.25">
      <c r="B57" s="114">
        <f t="shared" si="21"/>
        <v>41</v>
      </c>
      <c r="C57" s="114"/>
      <c r="D57" s="116">
        <f t="shared" si="22"/>
        <v>46738</v>
      </c>
      <c r="E57" s="118">
        <f t="shared" si="19"/>
        <v>1294</v>
      </c>
      <c r="F57" s="117">
        <f t="shared" si="17"/>
        <v>0.69845221773795629</v>
      </c>
      <c r="G57" s="118">
        <f t="shared" si="6"/>
        <v>30</v>
      </c>
      <c r="H57" s="119">
        <f t="shared" si="18"/>
        <v>8.3551556836367613E-3</v>
      </c>
      <c r="I57" s="119">
        <f t="shared" si="20"/>
        <v>0</v>
      </c>
      <c r="J57" s="119">
        <f t="shared" si="15"/>
        <v>0.70742016659835405</v>
      </c>
      <c r="K57" s="109">
        <f t="shared" si="11"/>
        <v>39598.301736139794</v>
      </c>
      <c r="L57" s="234">
        <f t="shared" si="2"/>
        <v>37768.312598004821</v>
      </c>
      <c r="M57" s="234">
        <f t="shared" si="12"/>
        <v>1829.9891381349737</v>
      </c>
      <c r="N57" s="109">
        <f t="shared" si="4"/>
        <v>330.84997581307181</v>
      </c>
      <c r="O57" s="234">
        <f t="shared" si="8"/>
        <v>0</v>
      </c>
      <c r="P57" s="123">
        <f t="shared" si="13"/>
        <v>2160.8391139480455</v>
      </c>
      <c r="Q57" s="123">
        <f t="shared" si="16"/>
        <v>0</v>
      </c>
      <c r="R57" s="239">
        <f t="shared" si="14"/>
        <v>2160.8391139480455</v>
      </c>
      <c r="S57" s="106"/>
    </row>
    <row r="58" spans="2:19" hidden="1" x14ac:dyDescent="0.25">
      <c r="B58" s="114">
        <f t="shared" si="21"/>
        <v>42</v>
      </c>
      <c r="C58" s="114"/>
      <c r="D58" s="116">
        <f t="shared" si="22"/>
        <v>46769</v>
      </c>
      <c r="E58" s="118">
        <f t="shared" si="19"/>
        <v>1325</v>
      </c>
      <c r="F58" s="117">
        <f t="shared" si="17"/>
        <v>0.69247281201523514</v>
      </c>
      <c r="G58" s="118">
        <f t="shared" si="6"/>
        <v>31</v>
      </c>
      <c r="H58" s="119">
        <f t="shared" si="18"/>
        <v>8.6348599092571643E-3</v>
      </c>
      <c r="I58" s="119">
        <f t="shared" si="20"/>
        <v>0</v>
      </c>
      <c r="J58" s="119">
        <f t="shared" si="15"/>
        <v>0.70136398682670731</v>
      </c>
      <c r="K58" s="109">
        <f t="shared" si="11"/>
        <v>37768.312598004821</v>
      </c>
      <c r="L58" s="234">
        <f t="shared" si="2"/>
        <v>35933.597572349579</v>
      </c>
      <c r="M58" s="234">
        <f t="shared" si="12"/>
        <v>1834.7150256552413</v>
      </c>
      <c r="N58" s="109">
        <f t="shared" si="4"/>
        <v>326.12408829280412</v>
      </c>
      <c r="O58" s="234">
        <f t="shared" si="8"/>
        <v>0</v>
      </c>
      <c r="P58" s="123">
        <f t="shared" si="13"/>
        <v>2160.8391139480455</v>
      </c>
      <c r="Q58" s="123">
        <f t="shared" si="16"/>
        <v>0</v>
      </c>
      <c r="R58" s="239">
        <f t="shared" si="14"/>
        <v>2160.8391139480455</v>
      </c>
      <c r="S58" s="106"/>
    </row>
    <row r="59" spans="2:19" hidden="1" x14ac:dyDescent="0.25">
      <c r="B59" s="114">
        <f t="shared" si="21"/>
        <v>43</v>
      </c>
      <c r="C59" s="114"/>
      <c r="D59" s="116">
        <f t="shared" si="22"/>
        <v>46800</v>
      </c>
      <c r="E59" s="118">
        <f t="shared" si="19"/>
        <v>1356</v>
      </c>
      <c r="F59" s="117">
        <f t="shared" si="17"/>
        <v>0.68654459561067938</v>
      </c>
      <c r="G59" s="118">
        <f t="shared" si="6"/>
        <v>31</v>
      </c>
      <c r="H59" s="119">
        <f t="shared" si="18"/>
        <v>8.6348599092571643E-3</v>
      </c>
      <c r="I59" s="119">
        <f t="shared" si="20"/>
        <v>0</v>
      </c>
      <c r="J59" s="119">
        <f t="shared" si="15"/>
        <v>0.69535965363105356</v>
      </c>
      <c r="K59" s="109">
        <f t="shared" si="11"/>
        <v>35933.597572349579</v>
      </c>
      <c r="L59" s="234">
        <f t="shared" si="2"/>
        <v>34083.040039474399</v>
      </c>
      <c r="M59" s="234">
        <f t="shared" si="12"/>
        <v>1850.5575328751834</v>
      </c>
      <c r="N59" s="109">
        <f t="shared" si="4"/>
        <v>310.28158107286197</v>
      </c>
      <c r="O59" s="234">
        <f t="shared" si="8"/>
        <v>0</v>
      </c>
      <c r="P59" s="123">
        <f t="shared" si="13"/>
        <v>2160.8391139480455</v>
      </c>
      <c r="Q59" s="123">
        <f t="shared" si="16"/>
        <v>0</v>
      </c>
      <c r="R59" s="239">
        <f t="shared" si="14"/>
        <v>2160.8391139480455</v>
      </c>
      <c r="S59" s="106"/>
    </row>
    <row r="60" spans="2:19" hidden="1" x14ac:dyDescent="0.25">
      <c r="B60" s="114">
        <f t="shared" si="21"/>
        <v>44</v>
      </c>
      <c r="C60" s="114"/>
      <c r="D60" s="116">
        <f t="shared" si="22"/>
        <v>46829</v>
      </c>
      <c r="E60" s="118">
        <f t="shared" si="19"/>
        <v>1385</v>
      </c>
      <c r="F60" s="117">
        <f t="shared" si="17"/>
        <v>0.68104479857402878</v>
      </c>
      <c r="G60" s="118">
        <f t="shared" si="6"/>
        <v>29</v>
      </c>
      <c r="H60" s="119">
        <f t="shared" si="18"/>
        <v>8.0755290227103593E-3</v>
      </c>
      <c r="I60" s="119">
        <f t="shared" si="20"/>
        <v>0</v>
      </c>
      <c r="J60" s="119">
        <f t="shared" si="15"/>
        <v>0.68978924059904267</v>
      </c>
      <c r="K60" s="109">
        <f t="shared" si="11"/>
        <v>34083.040039474399</v>
      </c>
      <c r="L60" s="234">
        <f t="shared" si="2"/>
        <v>32197.439504547328</v>
      </c>
      <c r="M60" s="234">
        <f t="shared" si="12"/>
        <v>1885.6005349270708</v>
      </c>
      <c r="N60" s="109">
        <f t="shared" si="4"/>
        <v>275.23857902097473</v>
      </c>
      <c r="O60" s="234">
        <f t="shared" si="8"/>
        <v>0</v>
      </c>
      <c r="P60" s="123">
        <f t="shared" si="13"/>
        <v>2160.8391139480455</v>
      </c>
      <c r="Q60" s="123">
        <f t="shared" si="16"/>
        <v>0</v>
      </c>
      <c r="R60" s="239">
        <f t="shared" si="14"/>
        <v>2160.8391139480455</v>
      </c>
      <c r="S60" s="106"/>
    </row>
    <row r="61" spans="2:19" hidden="1" x14ac:dyDescent="0.25">
      <c r="B61" s="114">
        <f t="shared" si="21"/>
        <v>45</v>
      </c>
      <c r="C61" s="114"/>
      <c r="D61" s="116">
        <f t="shared" si="22"/>
        <v>46860</v>
      </c>
      <c r="E61" s="118">
        <f t="shared" si="19"/>
        <v>1416</v>
      </c>
      <c r="F61" s="117">
        <f t="shared" si="17"/>
        <v>0.67521441667730919</v>
      </c>
      <c r="G61" s="118">
        <f t="shared" si="6"/>
        <v>31</v>
      </c>
      <c r="H61" s="119">
        <f t="shared" si="18"/>
        <v>8.6348599092571643E-3</v>
      </c>
      <c r="I61" s="119">
        <f t="shared" si="20"/>
        <v>0</v>
      </c>
      <c r="J61" s="119">
        <f t="shared" si="15"/>
        <v>0.68388399808142686</v>
      </c>
      <c r="K61" s="109">
        <f t="shared" si="11"/>
        <v>32197.439504547328</v>
      </c>
      <c r="L61" s="234">
        <f t="shared" si="2"/>
        <v>30314.620770157831</v>
      </c>
      <c r="M61" s="234">
        <f t="shared" si="12"/>
        <v>1882.818734389497</v>
      </c>
      <c r="N61" s="109">
        <f t="shared" si="4"/>
        <v>278.0203795585486</v>
      </c>
      <c r="O61" s="234">
        <f t="shared" si="8"/>
        <v>0</v>
      </c>
      <c r="P61" s="123">
        <f t="shared" si="13"/>
        <v>2160.8391139480455</v>
      </c>
      <c r="Q61" s="123">
        <f t="shared" si="16"/>
        <v>0</v>
      </c>
      <c r="R61" s="239">
        <f t="shared" si="14"/>
        <v>2160.8391139480455</v>
      </c>
      <c r="S61" s="106"/>
    </row>
    <row r="62" spans="2:19" hidden="1" x14ac:dyDescent="0.25">
      <c r="B62" s="114">
        <f t="shared" si="21"/>
        <v>46</v>
      </c>
      <c r="C62" s="114"/>
      <c r="D62" s="116">
        <f t="shared" si="22"/>
        <v>46890</v>
      </c>
      <c r="E62" s="118">
        <f t="shared" si="19"/>
        <v>1446</v>
      </c>
      <c r="F62" s="117">
        <f t="shared" si="17"/>
        <v>0.66961964033350185</v>
      </c>
      <c r="G62" s="118">
        <f t="shared" si="6"/>
        <v>30</v>
      </c>
      <c r="H62" s="119">
        <f t="shared" si="18"/>
        <v>8.3551556836367613E-3</v>
      </c>
      <c r="I62" s="119">
        <f t="shared" si="20"/>
        <v>0</v>
      </c>
      <c r="J62" s="119">
        <f t="shared" si="15"/>
        <v>0.67821738623210837</v>
      </c>
      <c r="K62" s="109">
        <f t="shared" si="11"/>
        <v>30314.620770157831</v>
      </c>
      <c r="L62" s="234">
        <f t="shared" si="2"/>
        <v>28407.065032234863</v>
      </c>
      <c r="M62" s="234">
        <f t="shared" si="12"/>
        <v>1907.5557379229683</v>
      </c>
      <c r="N62" s="109">
        <f t="shared" si="4"/>
        <v>253.28337602507722</v>
      </c>
      <c r="O62" s="234">
        <f t="shared" si="8"/>
        <v>0</v>
      </c>
      <c r="P62" s="123">
        <f t="shared" si="13"/>
        <v>2160.8391139480455</v>
      </c>
      <c r="Q62" s="123">
        <f t="shared" si="16"/>
        <v>0</v>
      </c>
      <c r="R62" s="239">
        <f t="shared" si="14"/>
        <v>2160.8391139480455</v>
      </c>
      <c r="S62" s="106"/>
    </row>
    <row r="63" spans="2:19" hidden="1" x14ac:dyDescent="0.25">
      <c r="B63" s="114">
        <f t="shared" si="21"/>
        <v>47</v>
      </c>
      <c r="C63" s="114"/>
      <c r="D63" s="116">
        <f t="shared" si="22"/>
        <v>46921</v>
      </c>
      <c r="E63" s="118">
        <f t="shared" si="19"/>
        <v>1477</v>
      </c>
      <c r="F63" s="117">
        <f t="shared" si="17"/>
        <v>0.66388706850142443</v>
      </c>
      <c r="G63" s="118">
        <f t="shared" si="6"/>
        <v>31</v>
      </c>
      <c r="H63" s="119">
        <f t="shared" si="18"/>
        <v>8.6348599092571643E-3</v>
      </c>
      <c r="I63" s="119">
        <f t="shared" si="20"/>
        <v>0</v>
      </c>
      <c r="J63" s="119">
        <f t="shared" si="15"/>
        <v>0.67241120963549172</v>
      </c>
      <c r="K63" s="109">
        <f t="shared" si="11"/>
        <v>28407.065032234863</v>
      </c>
      <c r="L63" s="234">
        <f t="shared" si="2"/>
        <v>26491.516945273324</v>
      </c>
      <c r="M63" s="234">
        <f t="shared" si="12"/>
        <v>1915.5480869615396</v>
      </c>
      <c r="N63" s="109">
        <f t="shared" si="4"/>
        <v>245.2910269865059</v>
      </c>
      <c r="O63" s="234">
        <f t="shared" si="8"/>
        <v>0</v>
      </c>
      <c r="P63" s="123">
        <f t="shared" si="13"/>
        <v>2160.8391139480455</v>
      </c>
      <c r="Q63" s="123">
        <f t="shared" si="16"/>
        <v>0</v>
      </c>
      <c r="R63" s="239">
        <f t="shared" si="14"/>
        <v>2160.8391139480455</v>
      </c>
      <c r="S63" s="106"/>
    </row>
    <row r="64" spans="2:19" hidden="1" x14ac:dyDescent="0.25">
      <c r="B64" s="114">
        <f t="shared" si="21"/>
        <v>48</v>
      </c>
      <c r="C64" s="114"/>
      <c r="D64" s="116">
        <f t="shared" si="22"/>
        <v>46951</v>
      </c>
      <c r="E64" s="118">
        <f t="shared" si="19"/>
        <v>1507</v>
      </c>
      <c r="F64" s="117">
        <f t="shared" si="17"/>
        <v>0.65838614972055864</v>
      </c>
      <c r="G64" s="118">
        <f t="shared" si="6"/>
        <v>30</v>
      </c>
      <c r="H64" s="119">
        <f t="shared" si="18"/>
        <v>8.3551556836367613E-3</v>
      </c>
      <c r="I64" s="119">
        <f t="shared" si="20"/>
        <v>0</v>
      </c>
      <c r="J64" s="119">
        <f t="shared" si="15"/>
        <v>0.66683966045635534</v>
      </c>
      <c r="K64" s="109">
        <f t="shared" si="11"/>
        <v>26491.516945273324</v>
      </c>
      <c r="L64" s="234">
        <f t="shared" si="2"/>
        <v>24552.018579698739</v>
      </c>
      <c r="M64" s="234">
        <f t="shared" si="12"/>
        <v>1939.4983655745855</v>
      </c>
      <c r="N64" s="109">
        <f t="shared" si="4"/>
        <v>221.34074837346</v>
      </c>
      <c r="O64" s="234">
        <f t="shared" si="8"/>
        <v>0</v>
      </c>
      <c r="P64" s="123">
        <f t="shared" si="13"/>
        <v>2160.8391139480455</v>
      </c>
      <c r="Q64" s="123">
        <f t="shared" si="16"/>
        <v>0</v>
      </c>
      <c r="R64" s="239">
        <f t="shared" si="14"/>
        <v>2160.8391139480455</v>
      </c>
      <c r="S64" s="106"/>
    </row>
    <row r="65" spans="2:19" hidden="1" x14ac:dyDescent="0.25">
      <c r="B65" s="114">
        <f t="shared" si="21"/>
        <v>49</v>
      </c>
      <c r="C65" s="114"/>
      <c r="D65" s="116">
        <f t="shared" si="22"/>
        <v>46982</v>
      </c>
      <c r="E65" s="118">
        <f t="shared" si="19"/>
        <v>1538</v>
      </c>
      <c r="F65" s="117">
        <f t="shared" si="17"/>
        <v>0.65274974709855949</v>
      </c>
      <c r="G65" s="118">
        <f t="shared" si="6"/>
        <v>31</v>
      </c>
      <c r="H65" s="119">
        <f t="shared" si="18"/>
        <v>8.6348599092571643E-3</v>
      </c>
      <c r="I65" s="119">
        <f t="shared" si="20"/>
        <v>0</v>
      </c>
      <c r="J65" s="119">
        <f t="shared" si="15"/>
        <v>0.66113088785801855</v>
      </c>
      <c r="K65" s="109">
        <f t="shared" si="11"/>
        <v>24552.018579698739</v>
      </c>
      <c r="L65" s="234">
        <f t="shared" si="2"/>
        <v>22603.182706675871</v>
      </c>
      <c r="M65" s="234">
        <f t="shared" si="12"/>
        <v>1948.8358730228679</v>
      </c>
      <c r="N65" s="109">
        <f t="shared" si="4"/>
        <v>212.00324092517766</v>
      </c>
      <c r="O65" s="234">
        <f t="shared" si="8"/>
        <v>0</v>
      </c>
      <c r="P65" s="123">
        <f t="shared" si="13"/>
        <v>2160.8391139480455</v>
      </c>
      <c r="Q65" s="123">
        <f t="shared" si="16"/>
        <v>0</v>
      </c>
      <c r="R65" s="239">
        <f t="shared" si="14"/>
        <v>2160.8391139480455</v>
      </c>
      <c r="S65" s="106"/>
    </row>
    <row r="66" spans="2:19" hidden="1" x14ac:dyDescent="0.25">
      <c r="B66" s="114">
        <f t="shared" si="21"/>
        <v>50</v>
      </c>
      <c r="C66" s="114"/>
      <c r="D66" s="116">
        <f t="shared" si="22"/>
        <v>47013</v>
      </c>
      <c r="E66" s="118">
        <f t="shared" si="19"/>
        <v>1569</v>
      </c>
      <c r="F66" s="117">
        <f t="shared" si="17"/>
        <v>0.64716159736664725</v>
      </c>
      <c r="G66" s="118">
        <f t="shared" si="6"/>
        <v>31</v>
      </c>
      <c r="H66" s="119">
        <f t="shared" si="18"/>
        <v>8.6348599092571643E-3</v>
      </c>
      <c r="I66" s="119">
        <f t="shared" si="20"/>
        <v>0</v>
      </c>
      <c r="J66" s="119">
        <f t="shared" si="15"/>
        <v>0.65547098770460688</v>
      </c>
      <c r="K66" s="109">
        <f t="shared" si="11"/>
        <v>22603.182706675871</v>
      </c>
      <c r="L66" s="234">
        <f t="shared" si="2"/>
        <v>20637.518908903316</v>
      </c>
      <c r="M66" s="234">
        <f t="shared" si="12"/>
        <v>1965.6637977725552</v>
      </c>
      <c r="N66" s="109">
        <f t="shared" si="4"/>
        <v>195.17531617549031</v>
      </c>
      <c r="O66" s="234">
        <f t="shared" si="8"/>
        <v>0</v>
      </c>
      <c r="P66" s="123">
        <f t="shared" si="13"/>
        <v>2160.8391139480455</v>
      </c>
      <c r="Q66" s="123">
        <f t="shared" si="16"/>
        <v>0</v>
      </c>
      <c r="R66" s="239">
        <f t="shared" si="14"/>
        <v>2160.8391139480455</v>
      </c>
      <c r="S66" s="106"/>
    </row>
    <row r="67" spans="2:19" hidden="1" x14ac:dyDescent="0.25">
      <c r="B67" s="114">
        <f t="shared" si="21"/>
        <v>51</v>
      </c>
      <c r="C67" s="114"/>
      <c r="D67" s="116">
        <f t="shared" si="22"/>
        <v>47043</v>
      </c>
      <c r="E67" s="118">
        <f t="shared" si="19"/>
        <v>1599</v>
      </c>
      <c r="F67" s="117">
        <f t="shared" si="17"/>
        <v>0.64179926459332648</v>
      </c>
      <c r="G67" s="118">
        <f t="shared" si="6"/>
        <v>30</v>
      </c>
      <c r="H67" s="119">
        <f t="shared" si="18"/>
        <v>8.3551556836367613E-3</v>
      </c>
      <c r="I67" s="119">
        <f t="shared" si="20"/>
        <v>0</v>
      </c>
      <c r="J67" s="119">
        <f t="shared" si="15"/>
        <v>0.65003980394210981</v>
      </c>
      <c r="K67" s="109">
        <f t="shared" si="11"/>
        <v>20637.518908903316</v>
      </c>
      <c r="L67" s="234">
        <f t="shared" si="2"/>
        <v>18649.109478363156</v>
      </c>
      <c r="M67" s="234">
        <f t="shared" si="12"/>
        <v>1988.4094305401609</v>
      </c>
      <c r="N67" s="109">
        <f t="shared" si="4"/>
        <v>172.42968340788468</v>
      </c>
      <c r="O67" s="234">
        <f t="shared" si="8"/>
        <v>0</v>
      </c>
      <c r="P67" s="123">
        <f t="shared" si="13"/>
        <v>2160.8391139480455</v>
      </c>
      <c r="Q67" s="123">
        <f t="shared" si="16"/>
        <v>0</v>
      </c>
      <c r="R67" s="239">
        <f t="shared" si="14"/>
        <v>2160.8391139480455</v>
      </c>
      <c r="S67" s="106"/>
    </row>
    <row r="68" spans="2:19" hidden="1" x14ac:dyDescent="0.25">
      <c r="B68" s="114">
        <f t="shared" si="21"/>
        <v>52</v>
      </c>
      <c r="C68" s="114"/>
      <c r="D68" s="116">
        <f t="shared" si="22"/>
        <v>47074</v>
      </c>
      <c r="E68" s="118">
        <f t="shared" si="19"/>
        <v>1630</v>
      </c>
      <c r="F68" s="117">
        <f t="shared" si="17"/>
        <v>0.63630486125679464</v>
      </c>
      <c r="G68" s="118">
        <f t="shared" si="6"/>
        <v>31</v>
      </c>
      <c r="H68" s="119">
        <f t="shared" si="18"/>
        <v>8.6348599092571643E-3</v>
      </c>
      <c r="I68" s="119">
        <f t="shared" si="20"/>
        <v>0</v>
      </c>
      <c r="J68" s="119">
        <f t="shared" si="15"/>
        <v>0.64447485386395553</v>
      </c>
      <c r="K68" s="109">
        <f t="shared" si="11"/>
        <v>18649.109478363156</v>
      </c>
      <c r="L68" s="234">
        <f t="shared" si="2"/>
        <v>16649.302812193175</v>
      </c>
      <c r="M68" s="234">
        <f t="shared" si="12"/>
        <v>1999.8066661699797</v>
      </c>
      <c r="N68" s="109">
        <f t="shared" si="4"/>
        <v>161.0324477780658</v>
      </c>
      <c r="O68" s="234">
        <f t="shared" si="8"/>
        <v>0</v>
      </c>
      <c r="P68" s="123">
        <f t="shared" si="13"/>
        <v>2160.8391139480455</v>
      </c>
      <c r="Q68" s="123">
        <f t="shared" si="16"/>
        <v>0</v>
      </c>
      <c r="R68" s="239">
        <f t="shared" si="14"/>
        <v>2160.8391139480455</v>
      </c>
      <c r="S68" s="106"/>
    </row>
    <row r="69" spans="2:19" hidden="1" x14ac:dyDescent="0.25">
      <c r="B69" s="114">
        <f t="shared" si="21"/>
        <v>53</v>
      </c>
      <c r="C69" s="114"/>
      <c r="D69" s="116">
        <f t="shared" si="22"/>
        <v>47104</v>
      </c>
      <c r="E69" s="118">
        <f t="shared" si="19"/>
        <v>1660</v>
      </c>
      <c r="F69" s="117">
        <f t="shared" si="17"/>
        <v>0.6310324865899033</v>
      </c>
      <c r="G69" s="118">
        <f t="shared" si="6"/>
        <v>30</v>
      </c>
      <c r="H69" s="119">
        <f t="shared" si="18"/>
        <v>8.3551556836367613E-3</v>
      </c>
      <c r="I69" s="119">
        <f t="shared" si="20"/>
        <v>0</v>
      </c>
      <c r="J69" s="119">
        <f t="shared" si="15"/>
        <v>0.6391347832470986</v>
      </c>
      <c r="K69" s="109">
        <f t="shared" si="11"/>
        <v>16649.302812193175</v>
      </c>
      <c r="L69" s="234">
        <f t="shared" si="2"/>
        <v>14627.571215265014</v>
      </c>
      <c r="M69" s="234">
        <f t="shared" si="12"/>
        <v>2021.7315969281601</v>
      </c>
      <c r="N69" s="109">
        <f t="shared" si="4"/>
        <v>139.10751701988531</v>
      </c>
      <c r="O69" s="234">
        <f t="shared" si="8"/>
        <v>0</v>
      </c>
      <c r="P69" s="123">
        <f t="shared" si="13"/>
        <v>2160.8391139480455</v>
      </c>
      <c r="Q69" s="123">
        <f t="shared" si="16"/>
        <v>0</v>
      </c>
      <c r="R69" s="239">
        <f t="shared" si="14"/>
        <v>2160.8391139480455</v>
      </c>
      <c r="S69" s="106"/>
    </row>
    <row r="70" spans="2:19" hidden="1" x14ac:dyDescent="0.25">
      <c r="B70" s="114">
        <f t="shared" si="21"/>
        <v>54</v>
      </c>
      <c r="C70" s="114"/>
      <c r="D70" s="116">
        <f t="shared" si="22"/>
        <v>47135</v>
      </c>
      <c r="E70" s="118">
        <f t="shared" si="19"/>
        <v>1691</v>
      </c>
      <c r="F70" s="117">
        <f t="shared" si="17"/>
        <v>0.62563025696600905</v>
      </c>
      <c r="G70" s="118">
        <f t="shared" si="6"/>
        <v>31</v>
      </c>
      <c r="H70" s="119">
        <f t="shared" si="18"/>
        <v>8.6348599092571643E-3</v>
      </c>
      <c r="I70" s="119">
        <f t="shared" si="20"/>
        <v>0</v>
      </c>
      <c r="J70" s="119">
        <f t="shared" si="15"/>
        <v>0.63366319036861263</v>
      </c>
      <c r="K70" s="109">
        <f t="shared" si="11"/>
        <v>14627.571215265014</v>
      </c>
      <c r="L70" s="234">
        <f t="shared" si="2"/>
        <v>12593.039129573464</v>
      </c>
      <c r="M70" s="234">
        <f t="shared" si="12"/>
        <v>2034.5320856915496</v>
      </c>
      <c r="N70" s="109">
        <f t="shared" si="4"/>
        <v>126.30702825649597</v>
      </c>
      <c r="O70" s="234">
        <f t="shared" si="8"/>
        <v>0</v>
      </c>
      <c r="P70" s="123">
        <f t="shared" si="13"/>
        <v>2160.8391139480455</v>
      </c>
      <c r="Q70" s="123">
        <f t="shared" si="16"/>
        <v>0</v>
      </c>
      <c r="R70" s="239">
        <f t="shared" si="14"/>
        <v>2160.8391139480455</v>
      </c>
      <c r="S70" s="106"/>
    </row>
    <row r="71" spans="2:19" hidden="1" x14ac:dyDescent="0.25">
      <c r="B71" s="114">
        <f t="shared" si="21"/>
        <v>55</v>
      </c>
      <c r="C71" s="114"/>
      <c r="D71" s="116">
        <f t="shared" si="22"/>
        <v>47166</v>
      </c>
      <c r="E71" s="118">
        <f t="shared" si="19"/>
        <v>1722</v>
      </c>
      <c r="F71" s="117">
        <f t="shared" si="17"/>
        <v>0.62027427549182101</v>
      </c>
      <c r="G71" s="118">
        <f t="shared" si="6"/>
        <v>31</v>
      </c>
      <c r="H71" s="119">
        <f t="shared" si="18"/>
        <v>8.6348599092571643E-3</v>
      </c>
      <c r="I71" s="119">
        <f t="shared" si="20"/>
        <v>0</v>
      </c>
      <c r="J71" s="119">
        <f t="shared" si="15"/>
        <v>0.62823843945431423</v>
      </c>
      <c r="K71" s="109">
        <f t="shared" si="11"/>
        <v>12593.039129573464</v>
      </c>
      <c r="L71" s="234">
        <f t="shared" si="2"/>
        <v>10540.939144341079</v>
      </c>
      <c r="M71" s="234">
        <f t="shared" si="12"/>
        <v>2052.0999852323848</v>
      </c>
      <c r="N71" s="109">
        <f t="shared" si="4"/>
        <v>108.73912871566064</v>
      </c>
      <c r="O71" s="234">
        <f t="shared" si="8"/>
        <v>0</v>
      </c>
      <c r="P71" s="123">
        <f t="shared" si="13"/>
        <v>2160.8391139480455</v>
      </c>
      <c r="Q71" s="123">
        <f t="shared" si="16"/>
        <v>0</v>
      </c>
      <c r="R71" s="239">
        <f t="shared" si="14"/>
        <v>2160.8391139480455</v>
      </c>
      <c r="S71" s="106"/>
    </row>
    <row r="72" spans="2:19" hidden="1" x14ac:dyDescent="0.25">
      <c r="B72" s="114">
        <f t="shared" si="21"/>
        <v>56</v>
      </c>
      <c r="C72" s="114"/>
      <c r="D72" s="116">
        <f t="shared" si="22"/>
        <v>47194</v>
      </c>
      <c r="E72" s="118">
        <f t="shared" si="19"/>
        <v>1750</v>
      </c>
      <c r="F72" s="117">
        <f t="shared" si="17"/>
        <v>0.61547603667789097</v>
      </c>
      <c r="G72" s="118">
        <f t="shared" si="6"/>
        <v>28</v>
      </c>
      <c r="H72" s="119">
        <f t="shared" si="18"/>
        <v>7.7959799049676093E-3</v>
      </c>
      <c r="I72" s="119">
        <f t="shared" si="20"/>
        <v>0</v>
      </c>
      <c r="J72" s="119">
        <f t="shared" si="15"/>
        <v>0.62337859247419836</v>
      </c>
      <c r="K72" s="109">
        <f t="shared" si="11"/>
        <v>10540.939144341079</v>
      </c>
      <c r="L72" s="234">
        <f t="shared" si="2"/>
        <v>8462.2769801418035</v>
      </c>
      <c r="M72" s="234">
        <f t="shared" si="12"/>
        <v>2078.662164199276</v>
      </c>
      <c r="N72" s="109">
        <f t="shared" si="4"/>
        <v>82.176949748769516</v>
      </c>
      <c r="O72" s="234">
        <f t="shared" si="8"/>
        <v>0</v>
      </c>
      <c r="P72" s="123">
        <f t="shared" si="13"/>
        <v>2160.8391139480455</v>
      </c>
      <c r="Q72" s="123">
        <f t="shared" si="16"/>
        <v>0</v>
      </c>
      <c r="R72" s="239">
        <f t="shared" si="14"/>
        <v>2160.8391139480455</v>
      </c>
      <c r="S72" s="106"/>
    </row>
    <row r="73" spans="2:19" hidden="1" x14ac:dyDescent="0.25">
      <c r="B73" s="114">
        <f t="shared" si="21"/>
        <v>57</v>
      </c>
      <c r="C73" s="114"/>
      <c r="D73" s="116">
        <f t="shared" si="22"/>
        <v>47225</v>
      </c>
      <c r="E73" s="118">
        <f t="shared" si="19"/>
        <v>1781</v>
      </c>
      <c r="F73" s="117">
        <f t="shared" si="17"/>
        <v>0.61020698484807745</v>
      </c>
      <c r="G73" s="118">
        <f t="shared" si="6"/>
        <v>31</v>
      </c>
      <c r="H73" s="119">
        <f t="shared" si="18"/>
        <v>8.6348599092571643E-3</v>
      </c>
      <c r="I73" s="119">
        <f t="shared" si="20"/>
        <v>0</v>
      </c>
      <c r="J73" s="119">
        <f t="shared" si="15"/>
        <v>0.61804188735880217</v>
      </c>
      <c r="K73" s="109">
        <f t="shared" si="11"/>
        <v>8462.2769801418035</v>
      </c>
      <c r="L73" s="234">
        <f t="shared" si="2"/>
        <v>6374.5084424306142</v>
      </c>
      <c r="M73" s="234">
        <f t="shared" si="12"/>
        <v>2087.7685377111893</v>
      </c>
      <c r="N73" s="109">
        <f t="shared" si="4"/>
        <v>73.07057623685624</v>
      </c>
      <c r="O73" s="234">
        <f t="shared" si="8"/>
        <v>0</v>
      </c>
      <c r="P73" s="123">
        <f t="shared" si="13"/>
        <v>2160.8391139480455</v>
      </c>
      <c r="Q73" s="123">
        <f t="shared" si="16"/>
        <v>0</v>
      </c>
      <c r="R73" s="239">
        <f t="shared" si="14"/>
        <v>2160.8391139480455</v>
      </c>
      <c r="S73" s="106"/>
    </row>
    <row r="74" spans="2:19" hidden="1" x14ac:dyDescent="0.25">
      <c r="B74" s="114">
        <f t="shared" si="21"/>
        <v>58</v>
      </c>
      <c r="C74" s="114"/>
      <c r="D74" s="116">
        <f t="shared" si="22"/>
        <v>47255</v>
      </c>
      <c r="E74" s="118">
        <f t="shared" si="19"/>
        <v>1811</v>
      </c>
      <c r="F74" s="117">
        <f t="shared" si="17"/>
        <v>0.6051508552404572</v>
      </c>
      <c r="G74" s="118">
        <f t="shared" si="6"/>
        <v>30</v>
      </c>
      <c r="H74" s="119">
        <f t="shared" si="18"/>
        <v>8.3551556836367613E-3</v>
      </c>
      <c r="I74" s="119">
        <f t="shared" si="20"/>
        <v>0</v>
      </c>
      <c r="J74" s="119">
        <f t="shared" si="15"/>
        <v>0.61292083833278654</v>
      </c>
      <c r="K74" s="109">
        <f t="shared" si="11"/>
        <v>6374.5084424306142</v>
      </c>
      <c r="L74" s="234">
        <f t="shared" si="2"/>
        <v>4266.9293389257327</v>
      </c>
      <c r="M74" s="234">
        <f t="shared" si="12"/>
        <v>2107.579103504881</v>
      </c>
      <c r="N74" s="109">
        <f t="shared" si="4"/>
        <v>53.260010443164667</v>
      </c>
      <c r="O74" s="234">
        <f t="shared" si="8"/>
        <v>0</v>
      </c>
      <c r="P74" s="123">
        <f t="shared" si="13"/>
        <v>2160.8391139480455</v>
      </c>
      <c r="Q74" s="123">
        <f t="shared" si="16"/>
        <v>0</v>
      </c>
      <c r="R74" s="239">
        <f t="shared" si="14"/>
        <v>2160.8391139480455</v>
      </c>
      <c r="S74" s="106"/>
    </row>
    <row r="75" spans="2:19" hidden="1" x14ac:dyDescent="0.25">
      <c r="B75" s="114">
        <f t="shared" si="21"/>
        <v>59</v>
      </c>
      <c r="C75" s="114"/>
      <c r="D75" s="116">
        <f t="shared" si="22"/>
        <v>47286</v>
      </c>
      <c r="E75" s="118">
        <f t="shared" si="19"/>
        <v>1842</v>
      </c>
      <c r="F75" s="117">
        <f t="shared" si="17"/>
        <v>0.59997019664271778</v>
      </c>
      <c r="G75" s="118">
        <f t="shared" si="6"/>
        <v>31</v>
      </c>
      <c r="H75" s="119">
        <f t="shared" si="18"/>
        <v>8.6348599092571643E-3</v>
      </c>
      <c r="I75" s="119">
        <f t="shared" si="20"/>
        <v>0</v>
      </c>
      <c r="J75" s="119">
        <f t="shared" si="15"/>
        <v>0.60767366139608592</v>
      </c>
      <c r="K75" s="109">
        <f t="shared" si="11"/>
        <v>4266.9293389257327</v>
      </c>
      <c r="L75" s="234">
        <f t="shared" si="2"/>
        <v>2142.9345620620102</v>
      </c>
      <c r="M75" s="234">
        <f t="shared" si="12"/>
        <v>2123.9947768637226</v>
      </c>
      <c r="N75" s="109">
        <f t="shared" si="4"/>
        <v>36.844337084322987</v>
      </c>
      <c r="O75" s="234">
        <f t="shared" si="8"/>
        <v>0</v>
      </c>
      <c r="P75" s="123">
        <f t="shared" si="13"/>
        <v>2160.8391139480455</v>
      </c>
      <c r="Q75" s="123">
        <f t="shared" si="16"/>
        <v>0</v>
      </c>
      <c r="R75" s="239">
        <f t="shared" si="14"/>
        <v>2160.8391139480455</v>
      </c>
      <c r="S75" s="106"/>
    </row>
    <row r="76" spans="2:19" hidden="1" x14ac:dyDescent="0.25">
      <c r="B76" s="114">
        <f t="shared" si="21"/>
        <v>60</v>
      </c>
      <c r="C76" s="114"/>
      <c r="D76" s="116">
        <f t="shared" si="22"/>
        <v>47316</v>
      </c>
      <c r="E76" s="118">
        <f t="shared" si="19"/>
        <v>1872</v>
      </c>
      <c r="F76" s="117">
        <f t="shared" si="17"/>
        <v>0.5949988882993853</v>
      </c>
      <c r="G76" s="118">
        <f t="shared" si="6"/>
        <v>30</v>
      </c>
      <c r="H76" s="119">
        <f t="shared" si="18"/>
        <v>8.3551556836367613E-3</v>
      </c>
      <c r="I76" s="119">
        <f t="shared" si="20"/>
        <v>0</v>
      </c>
      <c r="J76" s="119">
        <f t="shared" si="15"/>
        <v>0.6026385227178217</v>
      </c>
      <c r="K76" s="109">
        <f t="shared" si="11"/>
        <v>2142.9345620620102</v>
      </c>
      <c r="L76" s="234">
        <f t="shared" si="2"/>
        <v>-1.6143530956469476E-10</v>
      </c>
      <c r="M76" s="234">
        <f t="shared" si="12"/>
        <v>2142.9345620621716</v>
      </c>
      <c r="N76" s="109">
        <f t="shared" si="4"/>
        <v>17.90455188587406</v>
      </c>
      <c r="O76" s="234">
        <f t="shared" si="8"/>
        <v>0</v>
      </c>
      <c r="P76" s="123">
        <f t="shared" si="13"/>
        <v>2160.8391139480455</v>
      </c>
      <c r="Q76" s="123">
        <f t="shared" si="16"/>
        <v>0</v>
      </c>
      <c r="R76" s="239">
        <f t="shared" si="14"/>
        <v>2160.8391139480455</v>
      </c>
      <c r="S76" s="106"/>
    </row>
    <row r="77" spans="2:19" hidden="1" x14ac:dyDescent="0.25">
      <c r="B77" s="114">
        <f t="shared" si="21"/>
        <v>61</v>
      </c>
      <c r="C77" s="114"/>
      <c r="D77" s="116">
        <f t="shared" si="22"/>
        <v>0</v>
      </c>
      <c r="E77" s="118">
        <f t="shared" si="19"/>
        <v>0</v>
      </c>
      <c r="F77" s="117">
        <f t="shared" si="17"/>
        <v>0</v>
      </c>
      <c r="G77" s="118">
        <f t="shared" si="6"/>
        <v>0</v>
      </c>
      <c r="H77" s="119">
        <f t="shared" si="18"/>
        <v>0</v>
      </c>
      <c r="I77" s="119">
        <f t="shared" si="20"/>
        <v>0</v>
      </c>
      <c r="J77" s="119">
        <f t="shared" si="15"/>
        <v>0</v>
      </c>
      <c r="K77" s="109">
        <f t="shared" si="11"/>
        <v>0</v>
      </c>
      <c r="L77" s="234">
        <f t="shared" si="2"/>
        <v>0</v>
      </c>
      <c r="M77" s="234">
        <f t="shared" si="12"/>
        <v>0</v>
      </c>
      <c r="N77" s="109">
        <f t="shared" si="4"/>
        <v>0</v>
      </c>
      <c r="O77" s="234">
        <f t="shared" si="8"/>
        <v>0</v>
      </c>
      <c r="P77" s="123">
        <f t="shared" si="13"/>
        <v>0</v>
      </c>
      <c r="Q77" s="123">
        <f t="shared" si="16"/>
        <v>0</v>
      </c>
      <c r="R77" s="239">
        <f t="shared" si="14"/>
        <v>0</v>
      </c>
      <c r="S77" s="106"/>
    </row>
    <row r="78" spans="2:19" hidden="1" x14ac:dyDescent="0.25">
      <c r="B78" s="114">
        <f t="shared" si="21"/>
        <v>0</v>
      </c>
      <c r="C78" s="114"/>
      <c r="D78" s="116" t="str">
        <f t="shared" si="22"/>
        <v/>
      </c>
      <c r="E78" s="118" t="str">
        <f t="shared" si="19"/>
        <v/>
      </c>
      <c r="F78" s="117" t="str">
        <f t="shared" si="17"/>
        <v/>
      </c>
      <c r="G78" s="118" t="str">
        <f t="shared" si="6"/>
        <v/>
      </c>
      <c r="H78" s="119" t="str">
        <f t="shared" si="18"/>
        <v/>
      </c>
      <c r="I78" s="119" t="str">
        <f t="shared" si="20"/>
        <v/>
      </c>
      <c r="J78" s="119" t="str">
        <f t="shared" si="15"/>
        <v/>
      </c>
      <c r="K78" s="109" t="str">
        <f t="shared" si="11"/>
        <v/>
      </c>
      <c r="L78" s="234" t="str">
        <f t="shared" si="2"/>
        <v/>
      </c>
      <c r="M78" s="234" t="str">
        <f t="shared" si="12"/>
        <v/>
      </c>
      <c r="N78" s="109" t="str">
        <f t="shared" si="4"/>
        <v/>
      </c>
      <c r="O78" s="234">
        <f t="shared" si="8"/>
        <v>0</v>
      </c>
      <c r="P78" s="123" t="str">
        <f t="shared" si="13"/>
        <v/>
      </c>
      <c r="Q78" s="123" t="str">
        <f t="shared" si="16"/>
        <v/>
      </c>
      <c r="R78" s="239" t="str">
        <f t="shared" si="14"/>
        <v/>
      </c>
      <c r="S78" s="106"/>
    </row>
    <row r="79" spans="2:19" hidden="1" x14ac:dyDescent="0.25">
      <c r="B79" s="114" t="str">
        <f t="shared" si="21"/>
        <v/>
      </c>
      <c r="C79" s="114"/>
      <c r="D79" s="116" t="str">
        <f t="shared" si="22"/>
        <v/>
      </c>
      <c r="E79" s="118" t="str">
        <f t="shared" si="19"/>
        <v/>
      </c>
      <c r="F79" s="117" t="str">
        <f t="shared" si="17"/>
        <v/>
      </c>
      <c r="G79" s="118" t="str">
        <f t="shared" si="6"/>
        <v/>
      </c>
      <c r="H79" s="119" t="str">
        <f t="shared" si="18"/>
        <v/>
      </c>
      <c r="I79" s="119" t="str">
        <f t="shared" si="20"/>
        <v/>
      </c>
      <c r="J79" s="119" t="str">
        <f t="shared" si="15"/>
        <v/>
      </c>
      <c r="K79" s="109" t="str">
        <f t="shared" si="11"/>
        <v/>
      </c>
      <c r="L79" s="234" t="str">
        <f t="shared" si="2"/>
        <v/>
      </c>
      <c r="M79" s="234" t="str">
        <f t="shared" si="12"/>
        <v/>
      </c>
      <c r="N79" s="109" t="str">
        <f t="shared" si="4"/>
        <v/>
      </c>
      <c r="O79" s="234">
        <f t="shared" si="8"/>
        <v>0</v>
      </c>
      <c r="P79" s="123" t="str">
        <f t="shared" si="13"/>
        <v/>
      </c>
      <c r="Q79" s="123" t="str">
        <f t="shared" si="16"/>
        <v/>
      </c>
      <c r="R79" s="239" t="str">
        <f t="shared" si="14"/>
        <v/>
      </c>
      <c r="S79" s="106"/>
    </row>
    <row r="80" spans="2:19" hidden="1" x14ac:dyDescent="0.25">
      <c r="B80" s="114" t="str">
        <f t="shared" si="21"/>
        <v/>
      </c>
      <c r="C80" s="114"/>
      <c r="D80" s="116" t="str">
        <f t="shared" si="22"/>
        <v/>
      </c>
      <c r="E80" s="118" t="str">
        <f t="shared" si="19"/>
        <v/>
      </c>
      <c r="F80" s="117" t="str">
        <f t="shared" ref="F80:F90" si="23">IF(OR($B81="",$B81=$B$15), $B81, (1/(1+$AC$24)^E80))</f>
        <v/>
      </c>
      <c r="G80" s="118" t="str">
        <f t="shared" si="6"/>
        <v/>
      </c>
      <c r="H80" s="119" t="str">
        <f t="shared" ref="H80:H90" si="24">IF(OR($B81="",$B81=$B$15), $B81,((1+$AC$24)^G80-1))</f>
        <v/>
      </c>
      <c r="I80" s="119" t="str">
        <f t="shared" si="20"/>
        <v/>
      </c>
      <c r="J80" s="119" t="str">
        <f t="shared" si="15"/>
        <v/>
      </c>
      <c r="K80" s="109" t="str">
        <f t="shared" si="11"/>
        <v/>
      </c>
      <c r="L80" s="234" t="str">
        <f t="shared" ref="L80:L90" si="25">IF(OR($B81="",$B81=$B$15), $B81, K80-M80)</f>
        <v/>
      </c>
      <c r="M80" s="234" t="str">
        <f t="shared" si="12"/>
        <v/>
      </c>
      <c r="N80" s="109" t="str">
        <f t="shared" ref="N80:N90" si="26">IF(OR($B81="",$B81=$B$15),$B81,K80*H80)</f>
        <v/>
      </c>
      <c r="O80" s="234">
        <f t="shared" si="8"/>
        <v>0</v>
      </c>
      <c r="P80" s="123" t="str">
        <f t="shared" si="13"/>
        <v/>
      </c>
      <c r="Q80" s="123" t="str">
        <f t="shared" si="16"/>
        <v/>
      </c>
      <c r="R80" s="239" t="str">
        <f t="shared" si="14"/>
        <v/>
      </c>
      <c r="S80" s="106"/>
    </row>
    <row r="81" spans="2:76" hidden="1" x14ac:dyDescent="0.25">
      <c r="B81" s="114" t="str">
        <f t="shared" si="21"/>
        <v/>
      </c>
      <c r="C81" s="114"/>
      <c r="D81" s="116" t="str">
        <f t="shared" si="22"/>
        <v/>
      </c>
      <c r="E81" s="118" t="str">
        <f t="shared" ref="E81:E90" si="27">IF(OR($B82="",$B82=$B$15),$B82,$D81-$U$6)</f>
        <v/>
      </c>
      <c r="F81" s="117" t="str">
        <f t="shared" si="23"/>
        <v/>
      </c>
      <c r="G81" s="118" t="str">
        <f t="shared" ref="G81:G90" si="28">IF(OR($B82="",$B82=$B$15), $B82,D81-D80)</f>
        <v/>
      </c>
      <c r="H81" s="119" t="str">
        <f t="shared" si="24"/>
        <v/>
      </c>
      <c r="I81" s="119" t="str">
        <f t="shared" ref="I81:I94" si="29">IF(OR($B82="",$B82=$B$15), $B82,(($Q$11/30)*G81))</f>
        <v/>
      </c>
      <c r="J81" s="119" t="str">
        <f t="shared" si="15"/>
        <v/>
      </c>
      <c r="K81" s="109" t="str">
        <f t="shared" si="11"/>
        <v/>
      </c>
      <c r="L81" s="234" t="str">
        <f t="shared" si="25"/>
        <v/>
      </c>
      <c r="M81" s="234" t="str">
        <f t="shared" si="12"/>
        <v/>
      </c>
      <c r="N81" s="109" t="str">
        <f t="shared" si="26"/>
        <v/>
      </c>
      <c r="O81" s="234">
        <f t="shared" ref="O81:O90" si="30">IF(OR(B82="",B82=0),0,$Q$8+$Q$7)</f>
        <v>0</v>
      </c>
      <c r="P81" s="123" t="str">
        <f t="shared" si="13"/>
        <v/>
      </c>
      <c r="Q81" s="123" t="str">
        <f t="shared" si="16"/>
        <v/>
      </c>
      <c r="R81" s="239" t="str">
        <f t="shared" si="14"/>
        <v/>
      </c>
      <c r="S81" s="106"/>
    </row>
    <row r="82" spans="2:76" hidden="1" x14ac:dyDescent="0.25">
      <c r="B82" s="114" t="str">
        <f t="shared" ref="B82:B90" si="31">IF( $B81=$Q$10,$B$15,IF(OR($B81="",$B81=$B$15),"",$B81+1) )</f>
        <v/>
      </c>
      <c r="C82" s="114"/>
      <c r="D82" s="116" t="str">
        <f t="shared" ref="D82:D90" si="32">IF(OR($B83="",$B83=$B$15),$B83,IF(DAY(EOMONTH($D81,$AC$27))&lt;$U$9,EOMONTH($D81,$AC$27),DATE(YEAR(EOMONTH($D81,$AC$27)),MONTH(EOMONTH($D81,$AC$27)),$U$9)))</f>
        <v/>
      </c>
      <c r="E82" s="118" t="str">
        <f t="shared" si="27"/>
        <v/>
      </c>
      <c r="F82" s="117" t="str">
        <f t="shared" si="23"/>
        <v/>
      </c>
      <c r="G82" s="118" t="str">
        <f t="shared" si="28"/>
        <v/>
      </c>
      <c r="H82" s="119" t="str">
        <f t="shared" si="24"/>
        <v/>
      </c>
      <c r="I82" s="119" t="str">
        <f t="shared" si="29"/>
        <v/>
      </c>
      <c r="J82" s="119" t="str">
        <f t="shared" si="15"/>
        <v/>
      </c>
      <c r="K82" s="109" t="str">
        <f t="shared" ref="K82:K90" si="33">IF(OR($B83="",$B83=$B$15), $B83, K81-M81)</f>
        <v/>
      </c>
      <c r="L82" s="234" t="str">
        <f t="shared" si="25"/>
        <v/>
      </c>
      <c r="M82" s="234" t="str">
        <f t="shared" ref="M82:M94" si="34">IF(OR($B83="",$B83=$B$15),$B83,P82-N82)</f>
        <v/>
      </c>
      <c r="N82" s="109" t="str">
        <f t="shared" si="26"/>
        <v/>
      </c>
      <c r="O82" s="234">
        <f t="shared" si="30"/>
        <v>0</v>
      </c>
      <c r="P82" s="123" t="str">
        <f t="shared" ref="P82:P92" si="35">IF(OR($B83="",$B83=$B$15),$B83,$AC$31+O82-Q82)</f>
        <v/>
      </c>
      <c r="Q82" s="123" t="str">
        <f t="shared" si="16"/>
        <v/>
      </c>
      <c r="R82" s="239" t="str">
        <f t="shared" ref="R82:R92" si="36">IF(OR($B83="",$B83=$B$15),$B83,P82+O82+Q82)</f>
        <v/>
      </c>
      <c r="S82" s="106"/>
    </row>
    <row r="83" spans="2:76" hidden="1" x14ac:dyDescent="0.25">
      <c r="B83" s="114" t="str">
        <f t="shared" si="31"/>
        <v/>
      </c>
      <c r="C83" s="114"/>
      <c r="D83" s="116" t="str">
        <f t="shared" si="32"/>
        <v/>
      </c>
      <c r="E83" s="118" t="str">
        <f t="shared" si="27"/>
        <v/>
      </c>
      <c r="F83" s="117" t="str">
        <f t="shared" si="23"/>
        <v/>
      </c>
      <c r="G83" s="118" t="str">
        <f t="shared" si="28"/>
        <v/>
      </c>
      <c r="H83" s="119" t="str">
        <f t="shared" si="24"/>
        <v/>
      </c>
      <c r="I83" s="119" t="str">
        <f t="shared" si="29"/>
        <v/>
      </c>
      <c r="J83" s="119" t="str">
        <f t="shared" ref="J83:J94" si="37">IF(OR($B84="",$B84=$B$15), $B84,(J82/(H83+I83+1)))</f>
        <v/>
      </c>
      <c r="K83" s="109" t="str">
        <f t="shared" si="33"/>
        <v/>
      </c>
      <c r="L83" s="234" t="str">
        <f t="shared" si="25"/>
        <v/>
      </c>
      <c r="M83" s="234" t="str">
        <f t="shared" si="34"/>
        <v/>
      </c>
      <c r="N83" s="109" t="str">
        <f t="shared" si="26"/>
        <v/>
      </c>
      <c r="O83" s="234">
        <f t="shared" si="30"/>
        <v>0</v>
      </c>
      <c r="P83" s="123" t="str">
        <f t="shared" si="35"/>
        <v/>
      </c>
      <c r="Q83" s="123" t="str">
        <f t="shared" ref="Q83:Q93" si="38">IF(OR($B84="",$B84=$B$15),$B84,(I83*K83))</f>
        <v/>
      </c>
      <c r="R83" s="239" t="str">
        <f t="shared" si="36"/>
        <v/>
      </c>
      <c r="S83" s="106"/>
    </row>
    <row r="84" spans="2:76" hidden="1" x14ac:dyDescent="0.25">
      <c r="B84" s="114" t="str">
        <f t="shared" si="31"/>
        <v/>
      </c>
      <c r="C84" s="114"/>
      <c r="D84" s="116" t="str">
        <f t="shared" si="32"/>
        <v/>
      </c>
      <c r="E84" s="118" t="str">
        <f t="shared" si="27"/>
        <v/>
      </c>
      <c r="F84" s="117" t="str">
        <f t="shared" si="23"/>
        <v/>
      </c>
      <c r="G84" s="118" t="str">
        <f t="shared" si="28"/>
        <v/>
      </c>
      <c r="H84" s="119" t="str">
        <f t="shared" si="24"/>
        <v/>
      </c>
      <c r="I84" s="119" t="str">
        <f t="shared" si="29"/>
        <v/>
      </c>
      <c r="J84" s="119" t="str">
        <f t="shared" si="37"/>
        <v/>
      </c>
      <c r="K84" s="109" t="str">
        <f t="shared" si="33"/>
        <v/>
      </c>
      <c r="L84" s="234" t="str">
        <f t="shared" si="25"/>
        <v/>
      </c>
      <c r="M84" s="234" t="str">
        <f t="shared" si="34"/>
        <v/>
      </c>
      <c r="N84" s="109" t="str">
        <f t="shared" si="26"/>
        <v/>
      </c>
      <c r="O84" s="234">
        <f t="shared" si="30"/>
        <v>0</v>
      </c>
      <c r="P84" s="123" t="str">
        <f t="shared" si="35"/>
        <v/>
      </c>
      <c r="Q84" s="123" t="str">
        <f t="shared" si="38"/>
        <v/>
      </c>
      <c r="R84" s="239" t="str">
        <f t="shared" si="36"/>
        <v/>
      </c>
      <c r="S84" s="106"/>
    </row>
    <row r="85" spans="2:76" hidden="1" x14ac:dyDescent="0.25">
      <c r="B85" s="114" t="str">
        <f t="shared" si="31"/>
        <v/>
      </c>
      <c r="C85" s="114"/>
      <c r="D85" s="116" t="str">
        <f t="shared" si="32"/>
        <v/>
      </c>
      <c r="E85" s="118" t="str">
        <f t="shared" si="27"/>
        <v/>
      </c>
      <c r="F85" s="117" t="str">
        <f t="shared" si="23"/>
        <v/>
      </c>
      <c r="G85" s="118" t="str">
        <f t="shared" si="28"/>
        <v/>
      </c>
      <c r="H85" s="119" t="str">
        <f t="shared" si="24"/>
        <v/>
      </c>
      <c r="I85" s="119" t="str">
        <f t="shared" si="29"/>
        <v/>
      </c>
      <c r="J85" s="119" t="str">
        <f t="shared" si="37"/>
        <v/>
      </c>
      <c r="K85" s="109" t="str">
        <f t="shared" si="33"/>
        <v/>
      </c>
      <c r="L85" s="234" t="str">
        <f t="shared" si="25"/>
        <v/>
      </c>
      <c r="M85" s="234" t="str">
        <f t="shared" si="34"/>
        <v/>
      </c>
      <c r="N85" s="109" t="str">
        <f t="shared" si="26"/>
        <v/>
      </c>
      <c r="O85" s="234">
        <f t="shared" si="30"/>
        <v>0</v>
      </c>
      <c r="P85" s="123" t="str">
        <f t="shared" si="35"/>
        <v/>
      </c>
      <c r="Q85" s="123" t="str">
        <f t="shared" si="38"/>
        <v/>
      </c>
      <c r="R85" s="239" t="str">
        <f t="shared" si="36"/>
        <v/>
      </c>
      <c r="S85" s="106"/>
    </row>
    <row r="86" spans="2:76" hidden="1" x14ac:dyDescent="0.25">
      <c r="B86" s="114" t="str">
        <f t="shared" si="31"/>
        <v/>
      </c>
      <c r="C86" s="114"/>
      <c r="D86" s="116" t="str">
        <f t="shared" si="32"/>
        <v/>
      </c>
      <c r="E86" s="118" t="str">
        <f t="shared" si="27"/>
        <v/>
      </c>
      <c r="F86" s="117" t="str">
        <f t="shared" si="23"/>
        <v/>
      </c>
      <c r="G86" s="118" t="str">
        <f t="shared" si="28"/>
        <v/>
      </c>
      <c r="H86" s="119" t="str">
        <f t="shared" si="24"/>
        <v/>
      </c>
      <c r="I86" s="119" t="str">
        <f t="shared" si="29"/>
        <v/>
      </c>
      <c r="J86" s="119" t="str">
        <f t="shared" si="37"/>
        <v/>
      </c>
      <c r="K86" s="109" t="str">
        <f t="shared" si="33"/>
        <v/>
      </c>
      <c r="L86" s="234" t="str">
        <f t="shared" si="25"/>
        <v/>
      </c>
      <c r="M86" s="234" t="str">
        <f t="shared" si="34"/>
        <v/>
      </c>
      <c r="N86" s="109" t="str">
        <f t="shared" si="26"/>
        <v/>
      </c>
      <c r="O86" s="234">
        <f t="shared" si="30"/>
        <v>0</v>
      </c>
      <c r="P86" s="123" t="str">
        <f t="shared" si="35"/>
        <v/>
      </c>
      <c r="Q86" s="123" t="str">
        <f t="shared" si="38"/>
        <v/>
      </c>
      <c r="R86" s="239" t="str">
        <f t="shared" si="36"/>
        <v/>
      </c>
      <c r="S86" s="106"/>
    </row>
    <row r="87" spans="2:76" hidden="1" x14ac:dyDescent="0.25">
      <c r="B87" s="114" t="str">
        <f t="shared" si="31"/>
        <v/>
      </c>
      <c r="C87" s="114"/>
      <c r="D87" s="116" t="str">
        <f t="shared" si="32"/>
        <v/>
      </c>
      <c r="E87" s="118" t="str">
        <f t="shared" si="27"/>
        <v/>
      </c>
      <c r="F87" s="117" t="str">
        <f t="shared" si="23"/>
        <v/>
      </c>
      <c r="G87" s="118" t="str">
        <f t="shared" si="28"/>
        <v/>
      </c>
      <c r="H87" s="119" t="str">
        <f t="shared" si="24"/>
        <v/>
      </c>
      <c r="I87" s="119" t="str">
        <f t="shared" si="29"/>
        <v/>
      </c>
      <c r="J87" s="119" t="str">
        <f t="shared" si="37"/>
        <v/>
      </c>
      <c r="K87" s="109" t="str">
        <f t="shared" si="33"/>
        <v/>
      </c>
      <c r="L87" s="234" t="str">
        <f t="shared" si="25"/>
        <v/>
      </c>
      <c r="M87" s="234" t="str">
        <f t="shared" si="34"/>
        <v/>
      </c>
      <c r="N87" s="109" t="str">
        <f t="shared" si="26"/>
        <v/>
      </c>
      <c r="O87" s="234">
        <f t="shared" si="30"/>
        <v>0</v>
      </c>
      <c r="P87" s="123" t="str">
        <f t="shared" si="35"/>
        <v/>
      </c>
      <c r="Q87" s="123" t="str">
        <f t="shared" si="38"/>
        <v/>
      </c>
      <c r="R87" s="239" t="str">
        <f t="shared" si="36"/>
        <v/>
      </c>
      <c r="S87" s="106"/>
    </row>
    <row r="88" spans="2:76" hidden="1" x14ac:dyDescent="0.25">
      <c r="B88" s="114" t="str">
        <f t="shared" si="31"/>
        <v/>
      </c>
      <c r="C88" s="114"/>
      <c r="D88" s="116" t="str">
        <f t="shared" si="32"/>
        <v/>
      </c>
      <c r="E88" s="118" t="str">
        <f t="shared" si="27"/>
        <v/>
      </c>
      <c r="F88" s="117" t="str">
        <f t="shared" si="23"/>
        <v/>
      </c>
      <c r="G88" s="118" t="str">
        <f t="shared" si="28"/>
        <v/>
      </c>
      <c r="H88" s="119" t="str">
        <f t="shared" si="24"/>
        <v/>
      </c>
      <c r="I88" s="119" t="str">
        <f t="shared" si="29"/>
        <v/>
      </c>
      <c r="J88" s="119" t="str">
        <f t="shared" si="37"/>
        <v/>
      </c>
      <c r="K88" s="109" t="str">
        <f t="shared" si="33"/>
        <v/>
      </c>
      <c r="L88" s="234" t="str">
        <f t="shared" si="25"/>
        <v/>
      </c>
      <c r="M88" s="234" t="str">
        <f t="shared" si="34"/>
        <v/>
      </c>
      <c r="N88" s="109" t="str">
        <f t="shared" si="26"/>
        <v/>
      </c>
      <c r="O88" s="234">
        <f t="shared" si="30"/>
        <v>0</v>
      </c>
      <c r="P88" s="123" t="str">
        <f t="shared" si="35"/>
        <v/>
      </c>
      <c r="Q88" s="123" t="str">
        <f t="shared" si="38"/>
        <v/>
      </c>
      <c r="R88" s="239" t="str">
        <f t="shared" si="36"/>
        <v/>
      </c>
      <c r="S88" s="106"/>
      <c r="AB88" s="17"/>
    </row>
    <row r="89" spans="2:76" hidden="1" x14ac:dyDescent="0.25">
      <c r="B89" s="114" t="str">
        <f t="shared" si="31"/>
        <v/>
      </c>
      <c r="C89" s="114"/>
      <c r="D89" s="116" t="str">
        <f t="shared" si="32"/>
        <v/>
      </c>
      <c r="E89" s="118" t="str">
        <f t="shared" si="27"/>
        <v/>
      </c>
      <c r="F89" s="117" t="str">
        <f t="shared" si="23"/>
        <v/>
      </c>
      <c r="G89" s="118" t="str">
        <f t="shared" si="28"/>
        <v/>
      </c>
      <c r="H89" s="119" t="str">
        <f t="shared" si="24"/>
        <v/>
      </c>
      <c r="I89" s="119" t="str">
        <f t="shared" si="29"/>
        <v/>
      </c>
      <c r="J89" s="119" t="str">
        <f t="shared" si="37"/>
        <v/>
      </c>
      <c r="K89" s="109" t="str">
        <f t="shared" si="33"/>
        <v/>
      </c>
      <c r="L89" s="234" t="str">
        <f t="shared" si="25"/>
        <v/>
      </c>
      <c r="M89" s="234" t="str">
        <f t="shared" si="34"/>
        <v/>
      </c>
      <c r="N89" s="109" t="str">
        <f t="shared" si="26"/>
        <v/>
      </c>
      <c r="O89" s="234">
        <f t="shared" si="30"/>
        <v>0</v>
      </c>
      <c r="P89" s="123" t="str">
        <f t="shared" si="35"/>
        <v/>
      </c>
      <c r="Q89" s="123" t="str">
        <f t="shared" si="38"/>
        <v/>
      </c>
      <c r="R89" s="239" t="str">
        <f t="shared" si="36"/>
        <v/>
      </c>
      <c r="S89" s="124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31"/>
    </row>
    <row r="90" spans="2:76" hidden="1" x14ac:dyDescent="0.25">
      <c r="B90" s="114" t="str">
        <f t="shared" si="31"/>
        <v/>
      </c>
      <c r="C90" s="114"/>
      <c r="D90" s="116">
        <f t="shared" si="32"/>
        <v>0</v>
      </c>
      <c r="E90" s="118">
        <f t="shared" si="27"/>
        <v>0</v>
      </c>
      <c r="F90" s="117">
        <f t="shared" si="23"/>
        <v>0</v>
      </c>
      <c r="G90" s="118">
        <f t="shared" si="28"/>
        <v>0</v>
      </c>
      <c r="H90" s="119">
        <f t="shared" si="24"/>
        <v>0</v>
      </c>
      <c r="I90" s="119">
        <f t="shared" si="29"/>
        <v>0</v>
      </c>
      <c r="J90" s="119">
        <f t="shared" si="37"/>
        <v>0</v>
      </c>
      <c r="K90" s="109">
        <f t="shared" si="33"/>
        <v>0</v>
      </c>
      <c r="L90" s="234">
        <f t="shared" si="25"/>
        <v>0</v>
      </c>
      <c r="M90" s="234">
        <f t="shared" si="34"/>
        <v>0</v>
      </c>
      <c r="N90" s="109">
        <f t="shared" si="26"/>
        <v>0</v>
      </c>
      <c r="O90" s="234">
        <f t="shared" si="30"/>
        <v>0</v>
      </c>
      <c r="P90" s="123">
        <f t="shared" si="35"/>
        <v>0</v>
      </c>
      <c r="Q90" s="123">
        <f t="shared" si="38"/>
        <v>0</v>
      </c>
      <c r="R90" s="239">
        <f t="shared" si="36"/>
        <v>0</v>
      </c>
      <c r="S90" s="106"/>
      <c r="AB90" s="10"/>
    </row>
    <row r="91" spans="2:76" x14ac:dyDescent="0.25">
      <c r="B91" s="114"/>
      <c r="C91" s="114"/>
      <c r="D91" s="125" t="s">
        <v>40</v>
      </c>
      <c r="E91" s="118"/>
      <c r="F91" s="117"/>
      <c r="G91" s="118"/>
      <c r="H91" s="119"/>
      <c r="I91" s="119">
        <f t="shared" si="29"/>
        <v>0</v>
      </c>
      <c r="J91" s="119">
        <f t="shared" si="37"/>
        <v>0</v>
      </c>
      <c r="K91" s="109"/>
      <c r="L91" s="125" t="s">
        <v>40</v>
      </c>
      <c r="M91" s="234">
        <f t="shared" si="34"/>
        <v>0</v>
      </c>
      <c r="N91" s="125" t="s">
        <v>441</v>
      </c>
      <c r="O91" s="125" t="s">
        <v>441</v>
      </c>
      <c r="P91" s="124">
        <f t="shared" si="35"/>
        <v>0</v>
      </c>
      <c r="Q91" s="124">
        <f t="shared" si="38"/>
        <v>0</v>
      </c>
      <c r="R91" s="249">
        <f t="shared" si="36"/>
        <v>0</v>
      </c>
      <c r="S91" s="106"/>
      <c r="AB91" s="10"/>
    </row>
    <row r="92" spans="2:76" x14ac:dyDescent="0.25">
      <c r="B92" s="106"/>
      <c r="C92" s="106"/>
      <c r="D92" s="126" t="s">
        <v>40</v>
      </c>
      <c r="E92" s="106"/>
      <c r="F92" s="106"/>
      <c r="G92" s="106"/>
      <c r="H92" s="106"/>
      <c r="I92" s="119">
        <f t="shared" si="29"/>
        <v>0</v>
      </c>
      <c r="J92" s="119">
        <f t="shared" si="37"/>
        <v>0</v>
      </c>
      <c r="K92" s="106"/>
      <c r="L92" s="126" t="s">
        <v>40</v>
      </c>
      <c r="M92" s="234">
        <f t="shared" si="34"/>
        <v>0</v>
      </c>
      <c r="N92" s="126" t="s">
        <v>441</v>
      </c>
      <c r="O92" s="126" t="s">
        <v>441</v>
      </c>
      <c r="P92" s="124">
        <f t="shared" si="35"/>
        <v>0</v>
      </c>
      <c r="Q92" s="124">
        <f t="shared" si="38"/>
        <v>0</v>
      </c>
      <c r="R92" s="249">
        <f t="shared" si="36"/>
        <v>0</v>
      </c>
      <c r="S92" s="106"/>
      <c r="AB92" s="31"/>
    </row>
    <row r="93" spans="2:76" x14ac:dyDescent="0.25">
      <c r="B93" s="106"/>
      <c r="C93" s="106"/>
      <c r="D93" s="126" t="s">
        <v>40</v>
      </c>
      <c r="E93" s="106"/>
      <c r="F93" s="106"/>
      <c r="G93" s="106"/>
      <c r="H93" s="106"/>
      <c r="I93" s="119">
        <f t="shared" si="29"/>
        <v>0</v>
      </c>
      <c r="J93" s="119">
        <f t="shared" si="37"/>
        <v>0</v>
      </c>
      <c r="K93" s="106"/>
      <c r="L93" s="126" t="s">
        <v>40</v>
      </c>
      <c r="M93" s="234">
        <v>0</v>
      </c>
      <c r="N93" s="126" t="s">
        <v>441</v>
      </c>
      <c r="O93" s="126" t="s">
        <v>441</v>
      </c>
      <c r="P93" s="124">
        <v>0</v>
      </c>
      <c r="Q93" s="124">
        <f t="shared" si="38"/>
        <v>0</v>
      </c>
      <c r="R93" s="249" t="s">
        <v>441</v>
      </c>
      <c r="S93" s="106"/>
    </row>
    <row r="94" spans="2:76" x14ac:dyDescent="0.25">
      <c r="B94" s="127">
        <f>INDEX(B17:B90,$Q$10-1,1,1)</f>
        <v>60</v>
      </c>
      <c r="C94" s="127"/>
      <c r="D94" s="128">
        <f>INDEX(D17:D90,$Q$10-1,1,1)</f>
        <v>47316</v>
      </c>
      <c r="E94" s="129"/>
      <c r="F94" s="130"/>
      <c r="G94" s="129"/>
      <c r="H94" s="131"/>
      <c r="I94" s="119">
        <f t="shared" si="29"/>
        <v>0</v>
      </c>
      <c r="J94" s="119">
        <f t="shared" si="37"/>
        <v>0</v>
      </c>
      <c r="K94" s="132"/>
      <c r="L94" s="235">
        <f t="shared" ref="L94:R94" si="39">INDEX(L17:L90,$Q$10-1,1,1)</f>
        <v>-1.6143530956469476E-10</v>
      </c>
      <c r="M94" s="234">
        <f t="shared" si="34"/>
        <v>0</v>
      </c>
      <c r="N94" s="132">
        <f t="shared" si="39"/>
        <v>17.90455188587406</v>
      </c>
      <c r="O94" s="235">
        <f t="shared" si="39"/>
        <v>0</v>
      </c>
      <c r="P94" s="132">
        <f t="shared" ref="P94" si="40">IF(OR($B95="",$B95=$B$15),$B95,$AC$31+O94-Q94)</f>
        <v>0</v>
      </c>
      <c r="Q94" s="255">
        <f t="shared" si="39"/>
        <v>0</v>
      </c>
      <c r="R94" s="250">
        <f t="shared" si="39"/>
        <v>2160.8391139480455</v>
      </c>
      <c r="S94" s="106"/>
    </row>
    <row r="95" spans="2:76" x14ac:dyDescent="0.25">
      <c r="B95" s="114"/>
      <c r="C95" s="114"/>
      <c r="D95" s="116"/>
      <c r="E95" s="118"/>
      <c r="F95" s="117"/>
      <c r="G95" s="118"/>
      <c r="H95" s="119"/>
      <c r="I95" s="119"/>
      <c r="J95" s="119"/>
      <c r="K95" s="109"/>
      <c r="L95" s="234"/>
      <c r="M95" s="234">
        <f>SUM(M17:M94)-M94</f>
        <v>101283.9745701482</v>
      </c>
      <c r="N95" s="109">
        <f>SUM(N17:N94)-N94</f>
        <v>28366.372266734543</v>
      </c>
      <c r="O95" s="234">
        <f>SUM(O16:O94)-O94</f>
        <v>0</v>
      </c>
      <c r="P95" s="109">
        <f>SUM(P17:P94)-P94</f>
        <v>129650.34683688289</v>
      </c>
      <c r="Q95" s="242">
        <f>SUM(Q17:Q94)-Q94</f>
        <v>0</v>
      </c>
      <c r="R95" s="234">
        <f>SUM(R17:R94)-R94</f>
        <v>129650.34683688288</v>
      </c>
      <c r="S95" s="106"/>
    </row>
    <row r="96" spans="2:76" x14ac:dyDescent="0.25">
      <c r="B96" s="114"/>
      <c r="C96" s="114"/>
      <c r="D96" s="116"/>
      <c r="E96" s="118"/>
      <c r="F96" s="117"/>
      <c r="G96" s="118"/>
      <c r="H96" s="119"/>
      <c r="I96" s="119"/>
      <c r="J96" s="119"/>
      <c r="K96" s="109"/>
      <c r="L96" s="234"/>
      <c r="M96" s="234"/>
      <c r="N96" s="109"/>
      <c r="O96" s="239"/>
      <c r="P96" s="123"/>
      <c r="Q96" s="242"/>
      <c r="R96" s="239"/>
      <c r="S96" s="106"/>
    </row>
    <row r="97" spans="2:19" x14ac:dyDescent="0.25">
      <c r="B97" s="114"/>
      <c r="C97" s="114"/>
      <c r="D97" s="116"/>
      <c r="E97" s="118"/>
      <c r="F97" s="117"/>
      <c r="G97" s="118"/>
      <c r="H97" s="119"/>
      <c r="I97" s="119"/>
      <c r="J97" s="119"/>
      <c r="K97" s="109"/>
      <c r="L97" s="234"/>
      <c r="M97" s="234"/>
      <c r="N97" s="109"/>
      <c r="O97" s="239"/>
      <c r="P97" s="123"/>
      <c r="Q97" s="242"/>
      <c r="R97" s="239"/>
      <c r="S97" s="106"/>
    </row>
    <row r="98" spans="2:19" x14ac:dyDescent="0.25">
      <c r="B98" s="295" t="s">
        <v>95</v>
      </c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106"/>
    </row>
    <row r="99" spans="2:19" x14ac:dyDescent="0.25">
      <c r="B99" s="292" t="s">
        <v>41</v>
      </c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106"/>
    </row>
    <row r="100" spans="2:19" x14ac:dyDescent="0.25">
      <c r="B100" s="293"/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106"/>
    </row>
    <row r="101" spans="2:19" x14ac:dyDescent="0.25">
      <c r="B101" s="292" t="s">
        <v>42</v>
      </c>
      <c r="C101" s="292"/>
      <c r="D101" s="292"/>
      <c r="E101" s="292"/>
      <c r="F101" s="292"/>
      <c r="G101" s="292"/>
      <c r="H101" s="292"/>
      <c r="I101" s="292"/>
      <c r="J101" s="292"/>
      <c r="K101" s="292"/>
      <c r="L101" s="292"/>
      <c r="M101" s="292"/>
      <c r="N101" s="292"/>
      <c r="O101" s="292"/>
      <c r="P101" s="292"/>
      <c r="Q101" s="292"/>
      <c r="R101" s="292"/>
      <c r="S101" s="106"/>
    </row>
    <row r="102" spans="2:19" x14ac:dyDescent="0.25">
      <c r="B102" s="292"/>
      <c r="C102" s="292"/>
      <c r="D102" s="292"/>
      <c r="E102" s="292"/>
      <c r="F102" s="292"/>
      <c r="G102" s="292"/>
      <c r="H102" s="292"/>
      <c r="I102" s="292"/>
      <c r="J102" s="292"/>
      <c r="K102" s="292"/>
      <c r="L102" s="292"/>
      <c r="M102" s="292"/>
      <c r="N102" s="292"/>
      <c r="O102" s="292"/>
      <c r="P102" s="292"/>
      <c r="Q102" s="292"/>
      <c r="R102" s="292"/>
      <c r="S102" s="106"/>
    </row>
    <row r="103" spans="2:19" x14ac:dyDescent="0.25">
      <c r="B103" s="292"/>
      <c r="C103" s="292"/>
      <c r="D103" s="292"/>
      <c r="E103" s="292"/>
      <c r="F103" s="292"/>
      <c r="G103" s="292"/>
      <c r="H103" s="292"/>
      <c r="I103" s="292"/>
      <c r="J103" s="292"/>
      <c r="K103" s="292"/>
      <c r="L103" s="292"/>
      <c r="M103" s="292"/>
      <c r="N103" s="292"/>
      <c r="O103" s="292"/>
      <c r="P103" s="292"/>
      <c r="Q103" s="292"/>
      <c r="R103" s="292"/>
      <c r="S103" s="106"/>
    </row>
    <row r="104" spans="2:19" x14ac:dyDescent="0.25">
      <c r="B104" s="292"/>
      <c r="C104" s="292"/>
      <c r="D104" s="292"/>
      <c r="E104" s="292"/>
      <c r="F104" s="292"/>
      <c r="G104" s="292"/>
      <c r="H104" s="292"/>
      <c r="I104" s="292"/>
      <c r="J104" s="292"/>
      <c r="K104" s="292"/>
      <c r="L104" s="292"/>
      <c r="M104" s="292"/>
      <c r="N104" s="292"/>
      <c r="O104" s="292"/>
      <c r="P104" s="292"/>
      <c r="Q104" s="292"/>
      <c r="R104" s="292"/>
      <c r="S104" s="106"/>
    </row>
    <row r="105" spans="2:19" x14ac:dyDescent="0.25">
      <c r="B105" s="295" t="s">
        <v>43</v>
      </c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106"/>
    </row>
    <row r="106" spans="2:19" x14ac:dyDescent="0.25">
      <c r="B106" s="292" t="s">
        <v>44</v>
      </c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106"/>
    </row>
    <row r="107" spans="2:19" x14ac:dyDescent="0.25">
      <c r="B107" s="293"/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106"/>
    </row>
    <row r="108" spans="2:19" ht="13.8" customHeight="1" x14ac:dyDescent="0.25">
      <c r="B108" s="292" t="s">
        <v>634</v>
      </c>
      <c r="C108" s="292"/>
      <c r="D108" s="292"/>
      <c r="E108" s="292"/>
      <c r="F108" s="292"/>
      <c r="G108" s="292"/>
      <c r="H108" s="292"/>
      <c r="I108" s="292"/>
      <c r="J108" s="292"/>
      <c r="K108" s="292"/>
      <c r="L108" s="292"/>
      <c r="M108" s="292"/>
      <c r="N108" s="292"/>
      <c r="O108" s="292"/>
      <c r="P108" s="292"/>
      <c r="Q108" s="292"/>
      <c r="R108" s="292"/>
      <c r="S108" s="106"/>
    </row>
    <row r="109" spans="2:19" x14ac:dyDescent="0.25">
      <c r="B109" s="279"/>
      <c r="C109" s="279"/>
      <c r="D109" s="279"/>
      <c r="E109" s="279"/>
      <c r="F109" s="279"/>
      <c r="G109" s="279"/>
      <c r="H109" s="279"/>
      <c r="I109" s="279"/>
      <c r="J109" s="279"/>
      <c r="K109" s="279"/>
      <c r="L109" s="279"/>
      <c r="M109" s="279"/>
      <c r="N109" s="279"/>
      <c r="O109" s="279"/>
      <c r="P109" s="279"/>
      <c r="Q109" s="279"/>
      <c r="R109" s="279"/>
      <c r="S109" s="106"/>
    </row>
    <row r="110" spans="2:19" x14ac:dyDescent="0.25">
      <c r="B110" s="114"/>
      <c r="C110" s="114"/>
      <c r="D110" s="116"/>
      <c r="E110" s="118"/>
      <c r="F110" s="117"/>
      <c r="G110" s="118"/>
      <c r="H110" s="119"/>
      <c r="I110" s="119"/>
      <c r="J110" s="119"/>
      <c r="K110" s="109"/>
      <c r="L110" s="234"/>
      <c r="M110" s="234"/>
      <c r="N110" s="109"/>
      <c r="O110" s="239"/>
      <c r="P110" s="123"/>
      <c r="Q110" s="242"/>
      <c r="R110" s="239"/>
      <c r="S110" s="106"/>
    </row>
    <row r="111" spans="2:19" x14ac:dyDescent="0.25">
      <c r="B111" s="114"/>
      <c r="C111" s="114"/>
      <c r="D111" s="116"/>
      <c r="E111" s="118"/>
      <c r="F111" s="117"/>
      <c r="G111" s="118"/>
      <c r="H111" s="119"/>
      <c r="I111" s="119"/>
      <c r="J111" s="119"/>
      <c r="K111" s="109"/>
      <c r="L111" s="234"/>
      <c r="M111" s="234"/>
      <c r="N111" s="109"/>
      <c r="O111" s="239"/>
      <c r="P111" s="123"/>
      <c r="Q111" s="242"/>
      <c r="R111" s="239"/>
      <c r="S111" s="106"/>
    </row>
    <row r="112" spans="2:19" x14ac:dyDescent="0.25">
      <c r="B112" s="114"/>
      <c r="C112" s="114"/>
      <c r="D112" s="116"/>
      <c r="E112" s="118"/>
      <c r="F112" s="117"/>
      <c r="G112" s="118"/>
      <c r="H112" s="119"/>
      <c r="I112" s="119"/>
      <c r="J112" s="119"/>
      <c r="K112" s="109"/>
      <c r="L112" s="234"/>
      <c r="M112" s="234"/>
      <c r="N112" s="109"/>
      <c r="O112" s="239"/>
      <c r="P112" s="123"/>
      <c r="Q112" s="242"/>
      <c r="R112" s="239"/>
      <c r="S112" s="106"/>
    </row>
    <row r="113" spans="2:19" x14ac:dyDescent="0.25">
      <c r="B113" s="114"/>
      <c r="C113" s="114"/>
      <c r="D113" s="116"/>
      <c r="E113" s="118"/>
      <c r="F113" s="117"/>
      <c r="G113" s="118"/>
      <c r="H113" s="119"/>
      <c r="I113" s="119"/>
      <c r="J113" s="119"/>
      <c r="K113" s="109"/>
      <c r="L113" s="234"/>
      <c r="M113" s="234"/>
      <c r="N113" s="109"/>
      <c r="O113" s="239"/>
      <c r="P113" s="123"/>
      <c r="Q113" s="242"/>
      <c r="R113" s="239"/>
      <c r="S113" s="106"/>
    </row>
    <row r="114" spans="2:19" x14ac:dyDescent="0.25">
      <c r="B114" s="114"/>
      <c r="C114" s="114"/>
      <c r="D114" s="116"/>
      <c r="E114" s="118"/>
      <c r="F114" s="117"/>
      <c r="G114" s="118"/>
      <c r="H114" s="119"/>
      <c r="I114" s="119"/>
      <c r="J114" s="119"/>
      <c r="K114" s="109"/>
      <c r="L114" s="234"/>
      <c r="M114" s="234"/>
      <c r="N114" s="109"/>
      <c r="O114" s="239"/>
      <c r="P114" s="123"/>
      <c r="Q114" s="242"/>
      <c r="R114" s="239"/>
      <c r="S114" s="106"/>
    </row>
    <row r="115" spans="2:19" x14ac:dyDescent="0.25">
      <c r="B115" s="114"/>
      <c r="C115" s="114"/>
      <c r="D115" s="116"/>
      <c r="E115" s="118"/>
      <c r="F115" s="117"/>
      <c r="G115" s="118"/>
      <c r="H115" s="119"/>
      <c r="I115" s="119"/>
      <c r="J115" s="119"/>
      <c r="K115" s="109"/>
      <c r="L115" s="234"/>
      <c r="M115" s="234"/>
      <c r="N115" s="109"/>
      <c r="O115" s="239"/>
      <c r="P115" s="123"/>
      <c r="Q115" s="242"/>
      <c r="R115" s="239"/>
      <c r="S115" s="106"/>
    </row>
    <row r="116" spans="2:19" x14ac:dyDescent="0.25">
      <c r="B116" s="114"/>
      <c r="C116" s="114"/>
      <c r="D116" s="116"/>
      <c r="E116" s="118"/>
      <c r="F116" s="117"/>
      <c r="G116" s="118"/>
      <c r="H116" s="119"/>
      <c r="I116" s="119"/>
      <c r="J116" s="119"/>
      <c r="K116" s="109"/>
      <c r="L116" s="234"/>
      <c r="M116" s="234"/>
      <c r="N116" s="109"/>
      <c r="O116" s="239"/>
      <c r="P116" s="123"/>
      <c r="Q116" s="242"/>
      <c r="R116" s="239"/>
      <c r="S116" s="106"/>
    </row>
    <row r="117" spans="2:19" x14ac:dyDescent="0.25">
      <c r="B117" s="114"/>
      <c r="C117" s="114"/>
      <c r="D117" s="106"/>
      <c r="E117" s="106"/>
      <c r="F117" s="106"/>
      <c r="G117" s="106"/>
      <c r="H117" s="106"/>
      <c r="I117" s="106"/>
      <c r="J117" s="106"/>
      <c r="K117" s="106"/>
      <c r="L117" s="232"/>
      <c r="M117" s="234"/>
      <c r="N117" s="109"/>
      <c r="O117" s="239"/>
      <c r="P117" s="123"/>
      <c r="Q117" s="242"/>
      <c r="R117" s="239"/>
      <c r="S117" s="106"/>
    </row>
    <row r="118" spans="2:19" x14ac:dyDescent="0.25">
      <c r="B118" s="114"/>
      <c r="C118" s="114"/>
      <c r="D118" s="106"/>
      <c r="E118" s="106"/>
      <c r="F118" s="106"/>
      <c r="G118" s="106"/>
      <c r="H118" s="106"/>
      <c r="I118" s="106"/>
      <c r="J118" s="106"/>
      <c r="K118" s="106"/>
      <c r="L118" s="232"/>
      <c r="M118" s="234"/>
      <c r="N118" s="109"/>
      <c r="O118" s="239"/>
      <c r="P118" s="123"/>
      <c r="Q118" s="242"/>
      <c r="R118" s="239"/>
      <c r="S118" s="106"/>
    </row>
    <row r="119" spans="2:19" x14ac:dyDescent="0.25">
      <c r="B119" s="114"/>
      <c r="C119" s="114"/>
      <c r="D119" s="116"/>
      <c r="E119" s="118"/>
      <c r="F119" s="117"/>
      <c r="G119" s="118"/>
      <c r="H119" s="119"/>
      <c r="I119" s="119"/>
      <c r="J119" s="119"/>
      <c r="K119" s="109"/>
      <c r="L119" s="234"/>
      <c r="M119" s="234"/>
      <c r="N119" s="109"/>
      <c r="O119" s="239"/>
      <c r="P119" s="123"/>
      <c r="Q119" s="242"/>
      <c r="R119" s="239"/>
      <c r="S119" s="106"/>
    </row>
    <row r="120" spans="2:19" x14ac:dyDescent="0.25">
      <c r="B120" s="114"/>
      <c r="C120" s="114"/>
      <c r="D120" s="116"/>
      <c r="E120" s="118"/>
      <c r="F120" s="117"/>
      <c r="G120" s="118"/>
      <c r="H120" s="119"/>
      <c r="I120" s="119"/>
      <c r="J120" s="119"/>
      <c r="K120" s="109"/>
      <c r="L120" s="234"/>
      <c r="M120" s="234"/>
      <c r="N120" s="109"/>
      <c r="O120" s="239"/>
      <c r="P120" s="123"/>
      <c r="Q120" s="242"/>
      <c r="R120" s="239"/>
      <c r="S120" s="106"/>
    </row>
    <row r="121" spans="2:19" x14ac:dyDescent="0.25">
      <c r="B121" s="114"/>
      <c r="C121" s="114"/>
      <c r="D121" s="116"/>
      <c r="E121" s="118"/>
      <c r="F121" s="117"/>
      <c r="G121" s="118"/>
      <c r="H121" s="119"/>
      <c r="I121" s="119"/>
      <c r="J121" s="119"/>
      <c r="K121" s="109"/>
      <c r="L121" s="234"/>
      <c r="M121" s="234"/>
      <c r="N121" s="109"/>
      <c r="O121" s="239"/>
      <c r="P121" s="123"/>
      <c r="Q121" s="242"/>
      <c r="R121" s="239"/>
      <c r="S121" s="106"/>
    </row>
    <row r="122" spans="2:19" x14ac:dyDescent="0.25">
      <c r="B122" s="114"/>
      <c r="C122" s="114"/>
      <c r="D122" s="116" t="s">
        <v>96</v>
      </c>
      <c r="E122" s="118"/>
      <c r="F122" s="117"/>
      <c r="G122" s="118"/>
      <c r="H122" s="119"/>
      <c r="I122" s="119"/>
      <c r="J122" s="119"/>
      <c r="K122" s="109"/>
      <c r="L122" s="234"/>
      <c r="M122" s="234"/>
      <c r="N122" s="109"/>
      <c r="O122" s="239"/>
      <c r="P122" s="123"/>
      <c r="Q122" s="242"/>
      <c r="R122" s="239"/>
      <c r="S122" s="106"/>
    </row>
    <row r="123" spans="2:19" x14ac:dyDescent="0.25">
      <c r="B123" s="114"/>
      <c r="C123" s="114"/>
      <c r="D123" s="116" t="s">
        <v>97</v>
      </c>
      <c r="E123" s="118"/>
      <c r="F123" s="117"/>
      <c r="G123" s="118"/>
      <c r="H123" s="119"/>
      <c r="I123" s="119"/>
      <c r="J123" s="119"/>
      <c r="K123" s="109"/>
      <c r="L123" s="234"/>
      <c r="M123" s="234"/>
      <c r="N123" s="109"/>
      <c r="O123" s="239"/>
      <c r="P123" s="123"/>
      <c r="Q123" s="242"/>
      <c r="R123" s="239"/>
      <c r="S123" s="106"/>
    </row>
    <row r="124" spans="2:19" x14ac:dyDescent="0.25">
      <c r="B124" s="114"/>
      <c r="C124" s="114"/>
      <c r="D124" s="116"/>
      <c r="E124" s="118"/>
      <c r="F124" s="117"/>
      <c r="G124" s="118"/>
      <c r="H124" s="119"/>
      <c r="I124" s="119"/>
      <c r="J124" s="119"/>
      <c r="K124" s="109"/>
      <c r="L124" s="234"/>
      <c r="M124" s="234"/>
      <c r="N124" s="109"/>
      <c r="O124" s="239"/>
      <c r="P124" s="123"/>
      <c r="Q124" s="242"/>
      <c r="R124" s="239"/>
      <c r="S124" s="106"/>
    </row>
    <row r="125" spans="2:19" x14ac:dyDescent="0.25">
      <c r="B125" s="114"/>
      <c r="C125" s="114"/>
      <c r="D125" s="116"/>
      <c r="E125" s="118"/>
      <c r="F125" s="117"/>
      <c r="G125" s="118"/>
      <c r="H125" s="119"/>
      <c r="I125" s="119"/>
      <c r="J125" s="119"/>
      <c r="K125" s="109"/>
      <c r="L125" s="234"/>
      <c r="M125" s="234"/>
      <c r="N125" s="109"/>
      <c r="O125" s="239"/>
      <c r="P125" s="123"/>
      <c r="Q125" s="242"/>
      <c r="R125" s="239"/>
      <c r="S125" s="106"/>
    </row>
    <row r="126" spans="2:19" x14ac:dyDescent="0.25">
      <c r="B126" s="114"/>
      <c r="C126" s="114"/>
      <c r="D126" s="116"/>
      <c r="E126" s="118"/>
      <c r="F126" s="117"/>
      <c r="G126" s="118"/>
      <c r="H126" s="119"/>
      <c r="I126" s="119"/>
      <c r="J126" s="119"/>
      <c r="K126" s="109"/>
      <c r="L126" s="234"/>
      <c r="M126" s="234"/>
      <c r="N126" s="109"/>
      <c r="O126" s="239"/>
      <c r="P126" s="123"/>
      <c r="Q126" s="242"/>
      <c r="R126" s="239"/>
      <c r="S126" s="106"/>
    </row>
    <row r="127" spans="2:19" x14ac:dyDescent="0.25">
      <c r="B127" s="114"/>
      <c r="C127" s="114"/>
      <c r="D127" s="116"/>
      <c r="E127" s="118"/>
      <c r="F127" s="117"/>
      <c r="G127" s="118"/>
      <c r="H127" s="119"/>
      <c r="I127" s="119"/>
      <c r="J127" s="119"/>
      <c r="K127" s="109"/>
      <c r="L127" s="234"/>
      <c r="M127" s="234"/>
      <c r="N127" s="109"/>
      <c r="O127" s="239"/>
      <c r="P127" s="123"/>
      <c r="Q127" s="242"/>
      <c r="R127" s="239"/>
      <c r="S127" s="106"/>
    </row>
    <row r="128" spans="2:19" x14ac:dyDescent="0.25">
      <c r="B128" s="114"/>
      <c r="C128" s="114"/>
      <c r="D128" s="116"/>
      <c r="E128" s="118"/>
      <c r="F128" s="117"/>
      <c r="G128" s="118"/>
      <c r="H128" s="119"/>
      <c r="I128" s="119"/>
      <c r="J128" s="119"/>
      <c r="K128" s="109"/>
      <c r="L128" s="234"/>
      <c r="M128" s="234"/>
      <c r="N128" s="109"/>
      <c r="O128" s="239"/>
      <c r="P128" s="123"/>
      <c r="Q128" s="242"/>
      <c r="R128" s="239"/>
      <c r="S128" s="106"/>
    </row>
    <row r="129" spans="2:19" x14ac:dyDescent="0.25">
      <c r="B129" s="114"/>
      <c r="C129" s="114"/>
      <c r="D129" s="116"/>
      <c r="E129" s="118"/>
      <c r="F129" s="117"/>
      <c r="G129" s="118"/>
      <c r="H129" s="119"/>
      <c r="I129" s="119"/>
      <c r="J129" s="119"/>
      <c r="K129" s="109"/>
      <c r="L129" s="234"/>
      <c r="M129" s="234"/>
      <c r="N129" s="109"/>
      <c r="O129" s="239"/>
      <c r="P129" s="123"/>
      <c r="Q129" s="242"/>
      <c r="R129" s="239"/>
      <c r="S129" s="106"/>
    </row>
    <row r="130" spans="2:19" x14ac:dyDescent="0.25">
      <c r="B130" s="114"/>
      <c r="C130" s="114"/>
      <c r="D130" s="116"/>
      <c r="E130" s="118"/>
      <c r="F130" s="117"/>
      <c r="G130" s="118"/>
      <c r="H130" s="119"/>
      <c r="I130" s="119"/>
      <c r="J130" s="119"/>
      <c r="K130" s="109"/>
      <c r="L130" s="234"/>
      <c r="M130" s="234"/>
      <c r="N130" s="109"/>
      <c r="O130" s="239"/>
      <c r="P130" s="123"/>
      <c r="Q130" s="242"/>
      <c r="R130" s="239"/>
      <c r="S130" s="106"/>
    </row>
    <row r="131" spans="2:19" x14ac:dyDescent="0.25">
      <c r="B131" s="114"/>
      <c r="C131" s="114"/>
      <c r="D131" s="116"/>
      <c r="E131" s="118"/>
      <c r="F131" s="117"/>
      <c r="G131" s="118"/>
      <c r="H131" s="119"/>
      <c r="I131" s="119"/>
      <c r="J131" s="119"/>
      <c r="K131" s="109"/>
      <c r="L131" s="234"/>
      <c r="M131" s="234"/>
      <c r="N131" s="109"/>
      <c r="O131" s="239"/>
      <c r="P131" s="123"/>
      <c r="Q131" s="242"/>
      <c r="R131" s="239"/>
      <c r="S131" s="106"/>
    </row>
    <row r="132" spans="2:19" x14ac:dyDescent="0.25">
      <c r="B132" s="114"/>
      <c r="C132" s="114"/>
      <c r="D132" s="116"/>
      <c r="E132" s="118"/>
      <c r="F132" s="117"/>
      <c r="G132" s="118"/>
      <c r="H132" s="119"/>
      <c r="I132" s="119"/>
      <c r="J132" s="119"/>
      <c r="K132" s="109"/>
      <c r="L132" s="234"/>
      <c r="M132" s="234"/>
      <c r="N132" s="109"/>
      <c r="O132" s="239"/>
      <c r="P132" s="123"/>
      <c r="Q132" s="242"/>
      <c r="R132" s="239"/>
      <c r="S132" s="106"/>
    </row>
    <row r="133" spans="2:19" x14ac:dyDescent="0.25">
      <c r="B133" s="114"/>
      <c r="C133" s="114"/>
      <c r="D133" s="116"/>
      <c r="E133" s="118"/>
      <c r="F133" s="117"/>
      <c r="G133" s="118"/>
      <c r="H133" s="119"/>
      <c r="I133" s="119"/>
      <c r="J133" s="119"/>
      <c r="K133" s="109"/>
      <c r="L133" s="234"/>
      <c r="M133" s="234"/>
      <c r="N133" s="109"/>
      <c r="O133" s="239"/>
      <c r="P133" s="123"/>
      <c r="Q133" s="242"/>
      <c r="R133" s="239"/>
      <c r="S133" s="106"/>
    </row>
    <row r="134" spans="2:19" x14ac:dyDescent="0.25">
      <c r="B134" s="114"/>
      <c r="C134" s="114"/>
      <c r="D134" s="116"/>
      <c r="E134" s="118"/>
      <c r="F134" s="117"/>
      <c r="G134" s="118"/>
      <c r="H134" s="119"/>
      <c r="I134" s="119"/>
      <c r="J134" s="119"/>
      <c r="K134" s="109"/>
      <c r="L134" s="234"/>
      <c r="M134" s="234"/>
      <c r="N134" s="109"/>
      <c r="O134" s="239"/>
      <c r="P134" s="123"/>
      <c r="Q134" s="242"/>
      <c r="R134" s="239"/>
      <c r="S134" s="106"/>
    </row>
    <row r="135" spans="2:19" x14ac:dyDescent="0.25">
      <c r="B135" s="114"/>
      <c r="C135" s="114"/>
      <c r="D135" s="116"/>
      <c r="E135" s="118"/>
      <c r="F135" s="117"/>
      <c r="G135" s="118"/>
      <c r="H135" s="119"/>
      <c r="I135" s="119"/>
      <c r="J135" s="119"/>
      <c r="K135" s="109"/>
      <c r="L135" s="234"/>
      <c r="M135" s="234"/>
      <c r="N135" s="109"/>
      <c r="O135" s="239"/>
      <c r="P135" s="123"/>
      <c r="Q135" s="242"/>
      <c r="R135" s="239"/>
      <c r="S135" s="106"/>
    </row>
    <row r="136" spans="2:19" x14ac:dyDescent="0.25">
      <c r="B136" s="114"/>
      <c r="C136" s="114"/>
      <c r="D136" s="116"/>
      <c r="E136" s="118"/>
      <c r="F136" s="117"/>
      <c r="G136" s="118"/>
      <c r="H136" s="119"/>
      <c r="I136" s="119"/>
      <c r="J136" s="119"/>
      <c r="K136" s="109"/>
      <c r="L136" s="234"/>
      <c r="M136" s="234"/>
      <c r="N136" s="109"/>
      <c r="O136" s="239"/>
      <c r="P136" s="123"/>
      <c r="Q136" s="242"/>
      <c r="R136" s="239"/>
      <c r="S136" s="106"/>
    </row>
    <row r="137" spans="2:19" x14ac:dyDescent="0.25">
      <c r="B137" s="114"/>
      <c r="C137" s="114"/>
      <c r="D137" s="116"/>
      <c r="E137" s="118"/>
      <c r="F137" s="117"/>
      <c r="G137" s="118"/>
      <c r="H137" s="119"/>
      <c r="I137" s="119"/>
      <c r="J137" s="119"/>
      <c r="K137" s="109"/>
      <c r="L137" s="234"/>
      <c r="M137" s="234"/>
      <c r="N137" s="109"/>
      <c r="O137" s="239"/>
      <c r="P137" s="123"/>
      <c r="Q137" s="242"/>
      <c r="R137" s="239"/>
      <c r="S137" s="106"/>
    </row>
    <row r="138" spans="2:19" x14ac:dyDescent="0.25">
      <c r="B138" s="114"/>
      <c r="C138" s="114"/>
      <c r="D138" s="116"/>
      <c r="E138" s="118"/>
      <c r="F138" s="117"/>
      <c r="G138" s="118"/>
      <c r="H138" s="119"/>
      <c r="I138" s="119"/>
      <c r="J138" s="119"/>
      <c r="K138" s="109"/>
      <c r="L138" s="234"/>
      <c r="M138" s="234"/>
      <c r="N138" s="109"/>
      <c r="O138" s="239"/>
      <c r="P138" s="123"/>
      <c r="Q138" s="242"/>
      <c r="R138" s="239"/>
      <c r="S138" s="106"/>
    </row>
    <row r="139" spans="2:19" x14ac:dyDescent="0.25">
      <c r="B139" s="114"/>
      <c r="C139" s="114"/>
      <c r="D139" s="116"/>
      <c r="E139" s="118"/>
      <c r="F139" s="117"/>
      <c r="G139" s="118"/>
      <c r="H139" s="119"/>
      <c r="I139" s="119"/>
      <c r="J139" s="119"/>
      <c r="K139" s="109"/>
      <c r="L139" s="234"/>
      <c r="M139" s="234"/>
      <c r="N139" s="109"/>
      <c r="O139" s="239"/>
      <c r="P139" s="123"/>
      <c r="Q139" s="242"/>
      <c r="R139" s="239"/>
      <c r="S139" s="106"/>
    </row>
    <row r="140" spans="2:19" x14ac:dyDescent="0.25">
      <c r="B140" s="114"/>
      <c r="C140" s="114"/>
      <c r="D140" s="116"/>
      <c r="E140" s="118"/>
      <c r="F140" s="117"/>
      <c r="G140" s="118"/>
      <c r="H140" s="119"/>
      <c r="I140" s="119"/>
      <c r="J140" s="119"/>
      <c r="K140" s="109"/>
      <c r="L140" s="234"/>
      <c r="M140" s="234"/>
      <c r="N140" s="109"/>
      <c r="O140" s="239"/>
      <c r="P140" s="123"/>
      <c r="Q140" s="242"/>
      <c r="R140" s="239"/>
      <c r="S140" s="106"/>
    </row>
    <row r="141" spans="2:19" x14ac:dyDescent="0.25">
      <c r="B141" s="114"/>
      <c r="C141" s="114"/>
      <c r="D141" s="116"/>
      <c r="E141" s="118"/>
      <c r="F141" s="117"/>
      <c r="G141" s="118"/>
      <c r="H141" s="119"/>
      <c r="I141" s="119"/>
      <c r="J141" s="119"/>
      <c r="K141" s="109"/>
      <c r="L141" s="234"/>
      <c r="M141" s="234"/>
      <c r="N141" s="109"/>
      <c r="O141" s="239"/>
      <c r="P141" s="123"/>
      <c r="Q141" s="242"/>
      <c r="R141" s="239"/>
      <c r="S141" s="106"/>
    </row>
    <row r="142" spans="2:19" x14ac:dyDescent="0.25">
      <c r="B142" s="114"/>
      <c r="C142" s="114"/>
      <c r="D142" s="116"/>
      <c r="E142" s="118"/>
      <c r="F142" s="117"/>
      <c r="G142" s="118"/>
      <c r="H142" s="119"/>
      <c r="I142" s="119"/>
      <c r="J142" s="119"/>
      <c r="K142" s="109"/>
      <c r="L142" s="234"/>
      <c r="M142" s="234"/>
      <c r="N142" s="109"/>
      <c r="O142" s="239"/>
      <c r="P142" s="123"/>
      <c r="Q142" s="242"/>
      <c r="R142" s="239"/>
      <c r="S142" s="106"/>
    </row>
    <row r="143" spans="2:19" x14ac:dyDescent="0.25">
      <c r="B143" s="114"/>
      <c r="C143" s="114"/>
      <c r="D143" s="116"/>
      <c r="E143" s="118"/>
      <c r="F143" s="117"/>
      <c r="G143" s="118"/>
      <c r="H143" s="119"/>
      <c r="I143" s="119"/>
      <c r="J143" s="119"/>
      <c r="K143" s="109"/>
      <c r="L143" s="234"/>
      <c r="M143" s="234"/>
      <c r="N143" s="109"/>
      <c r="O143" s="239"/>
      <c r="P143" s="123"/>
      <c r="Q143" s="242"/>
      <c r="R143" s="239"/>
      <c r="S143" s="106"/>
    </row>
    <row r="144" spans="2:19" x14ac:dyDescent="0.25">
      <c r="B144" s="114"/>
      <c r="C144" s="114"/>
      <c r="D144" s="116"/>
      <c r="E144" s="118"/>
      <c r="F144" s="117"/>
      <c r="G144" s="118"/>
      <c r="H144" s="119"/>
      <c r="I144" s="119"/>
      <c r="J144" s="119"/>
      <c r="K144" s="109"/>
      <c r="L144" s="234"/>
      <c r="M144" s="234"/>
      <c r="N144" s="109"/>
      <c r="O144" s="239"/>
      <c r="P144" s="123"/>
      <c r="Q144" s="242"/>
      <c r="R144" s="239"/>
      <c r="S144" s="106"/>
    </row>
    <row r="145" spans="2:19" x14ac:dyDescent="0.25">
      <c r="B145" s="114"/>
      <c r="C145" s="114"/>
      <c r="D145" s="116"/>
      <c r="E145" s="118"/>
      <c r="F145" s="117"/>
      <c r="G145" s="118"/>
      <c r="H145" s="119"/>
      <c r="I145" s="119"/>
      <c r="J145" s="119"/>
      <c r="K145" s="109"/>
      <c r="L145" s="234"/>
      <c r="M145" s="234"/>
      <c r="N145" s="109"/>
      <c r="O145" s="239"/>
      <c r="P145" s="123"/>
      <c r="Q145" s="242"/>
      <c r="R145" s="239"/>
      <c r="S145" s="106"/>
    </row>
    <row r="146" spans="2:19" x14ac:dyDescent="0.25">
      <c r="B146" s="114"/>
      <c r="C146" s="114"/>
      <c r="D146" s="116"/>
      <c r="E146" s="118"/>
      <c r="F146" s="117"/>
      <c r="G146" s="118"/>
      <c r="H146" s="119"/>
      <c r="I146" s="119"/>
      <c r="J146" s="119"/>
      <c r="K146" s="109"/>
      <c r="L146" s="234"/>
      <c r="M146" s="234"/>
      <c r="N146" s="109"/>
      <c r="O146" s="239"/>
      <c r="P146" s="123"/>
      <c r="Q146" s="242"/>
      <c r="R146" s="239"/>
      <c r="S146" s="106"/>
    </row>
    <row r="147" spans="2:19" x14ac:dyDescent="0.25">
      <c r="B147" s="114"/>
      <c r="C147" s="114"/>
      <c r="D147" s="116"/>
      <c r="E147" s="118"/>
      <c r="F147" s="117"/>
      <c r="G147" s="118"/>
      <c r="H147" s="119"/>
      <c r="I147" s="119"/>
      <c r="J147" s="119"/>
      <c r="K147" s="109"/>
      <c r="L147" s="234"/>
      <c r="M147" s="234"/>
      <c r="N147" s="109"/>
      <c r="O147" s="239"/>
      <c r="P147" s="123"/>
      <c r="Q147" s="242"/>
      <c r="R147" s="239"/>
      <c r="S147" s="106"/>
    </row>
    <row r="148" spans="2:19" x14ac:dyDescent="0.25">
      <c r="B148" s="114"/>
      <c r="C148" s="114"/>
      <c r="D148" s="116"/>
      <c r="E148" s="118"/>
      <c r="F148" s="117"/>
      <c r="G148" s="118"/>
      <c r="H148" s="119"/>
      <c r="I148" s="119"/>
      <c r="J148" s="119"/>
      <c r="K148" s="109"/>
      <c r="L148" s="234"/>
      <c r="M148" s="234"/>
      <c r="N148" s="109"/>
      <c r="O148" s="239"/>
      <c r="P148" s="123"/>
      <c r="Q148" s="242"/>
      <c r="R148" s="239"/>
      <c r="S148" s="106"/>
    </row>
    <row r="149" spans="2:19" x14ac:dyDescent="0.25">
      <c r="B149" s="114"/>
      <c r="C149" s="114"/>
      <c r="D149" s="116"/>
      <c r="E149" s="118"/>
      <c r="F149" s="117"/>
      <c r="G149" s="118"/>
      <c r="H149" s="119"/>
      <c r="I149" s="119"/>
      <c r="J149" s="119"/>
      <c r="K149" s="109"/>
      <c r="L149" s="234"/>
      <c r="M149" s="234"/>
      <c r="N149" s="109"/>
      <c r="O149" s="239"/>
      <c r="P149" s="123"/>
      <c r="Q149" s="242"/>
      <c r="R149" s="239"/>
      <c r="S149" s="106"/>
    </row>
    <row r="150" spans="2:19" x14ac:dyDescent="0.25">
      <c r="B150" s="114"/>
      <c r="C150" s="114"/>
      <c r="D150" s="116"/>
      <c r="E150" s="118"/>
      <c r="F150" s="117"/>
      <c r="G150" s="118"/>
      <c r="H150" s="119"/>
      <c r="I150" s="119"/>
      <c r="J150" s="119"/>
      <c r="K150" s="109"/>
      <c r="L150" s="234"/>
      <c r="M150" s="234"/>
      <c r="N150" s="109"/>
      <c r="O150" s="239"/>
      <c r="P150" s="123"/>
      <c r="Q150" s="242"/>
      <c r="R150" s="239"/>
      <c r="S150" s="106"/>
    </row>
    <row r="151" spans="2:19" x14ac:dyDescent="0.25">
      <c r="B151" s="114"/>
      <c r="C151" s="114"/>
      <c r="D151" s="116"/>
      <c r="E151" s="118"/>
      <c r="F151" s="117"/>
      <c r="G151" s="118"/>
      <c r="H151" s="119"/>
      <c r="I151" s="119"/>
      <c r="J151" s="119"/>
      <c r="K151" s="109"/>
      <c r="L151" s="234"/>
      <c r="M151" s="234"/>
      <c r="N151" s="109"/>
      <c r="O151" s="239"/>
      <c r="P151" s="123"/>
      <c r="Q151" s="242"/>
      <c r="R151" s="239"/>
      <c r="S151" s="106"/>
    </row>
    <row r="152" spans="2:19" x14ac:dyDescent="0.25">
      <c r="B152" s="114"/>
      <c r="C152" s="114"/>
      <c r="D152" s="116"/>
      <c r="E152" s="118"/>
      <c r="F152" s="117"/>
      <c r="G152" s="118"/>
      <c r="H152" s="119"/>
      <c r="I152" s="119"/>
      <c r="J152" s="119"/>
      <c r="K152" s="109"/>
      <c r="L152" s="234"/>
      <c r="M152" s="234"/>
      <c r="N152" s="109"/>
      <c r="O152" s="239"/>
      <c r="P152" s="123"/>
      <c r="Q152" s="242"/>
      <c r="R152" s="239"/>
      <c r="S152" s="106"/>
    </row>
    <row r="153" spans="2:19" x14ac:dyDescent="0.25">
      <c r="B153" s="114"/>
      <c r="C153" s="114"/>
      <c r="D153" s="116"/>
      <c r="E153" s="118"/>
      <c r="F153" s="117"/>
      <c r="G153" s="118"/>
      <c r="H153" s="119"/>
      <c r="I153" s="119"/>
      <c r="J153" s="119"/>
      <c r="K153" s="109"/>
      <c r="L153" s="234"/>
      <c r="M153" s="234"/>
      <c r="N153" s="109"/>
      <c r="O153" s="239"/>
      <c r="P153" s="123"/>
      <c r="Q153" s="242"/>
      <c r="R153" s="239"/>
      <c r="S153" s="106"/>
    </row>
    <row r="154" spans="2:19" x14ac:dyDescent="0.25">
      <c r="B154" s="114"/>
      <c r="C154" s="114"/>
      <c r="D154" s="116"/>
      <c r="E154" s="118"/>
      <c r="F154" s="117"/>
      <c r="G154" s="118"/>
      <c r="H154" s="119"/>
      <c r="I154" s="119"/>
      <c r="J154" s="119"/>
      <c r="K154" s="109"/>
      <c r="L154" s="234"/>
      <c r="M154" s="234"/>
      <c r="N154" s="109"/>
      <c r="O154" s="239"/>
      <c r="P154" s="123"/>
      <c r="Q154" s="242"/>
      <c r="R154" s="239"/>
      <c r="S154" s="106"/>
    </row>
    <row r="155" spans="2:19" x14ac:dyDescent="0.25">
      <c r="B155" s="114"/>
      <c r="C155" s="114"/>
      <c r="D155" s="116"/>
      <c r="E155" s="118"/>
      <c r="F155" s="117"/>
      <c r="G155" s="118"/>
      <c r="H155" s="119"/>
      <c r="I155" s="119"/>
      <c r="J155" s="119"/>
      <c r="K155" s="109"/>
      <c r="L155" s="234"/>
      <c r="M155" s="234"/>
      <c r="N155" s="109"/>
      <c r="O155" s="239"/>
      <c r="P155" s="123"/>
      <c r="Q155" s="242"/>
      <c r="R155" s="239"/>
      <c r="S155" s="106"/>
    </row>
    <row r="156" spans="2:19" x14ac:dyDescent="0.25">
      <c r="B156" s="114"/>
      <c r="C156" s="114"/>
      <c r="D156" s="116"/>
      <c r="E156" s="118"/>
      <c r="F156" s="117"/>
      <c r="G156" s="118"/>
      <c r="H156" s="119"/>
      <c r="I156" s="119"/>
      <c r="J156" s="119"/>
      <c r="K156" s="109"/>
      <c r="L156" s="234"/>
      <c r="M156" s="234"/>
      <c r="N156" s="109"/>
      <c r="O156" s="239"/>
      <c r="P156" s="123"/>
      <c r="Q156" s="242"/>
      <c r="R156" s="239"/>
      <c r="S156" s="106"/>
    </row>
    <row r="157" spans="2:19" x14ac:dyDescent="0.25">
      <c r="B157" s="114"/>
      <c r="C157" s="114"/>
      <c r="D157" s="116"/>
      <c r="E157" s="118"/>
      <c r="F157" s="117"/>
      <c r="G157" s="118"/>
      <c r="H157" s="119"/>
      <c r="I157" s="119"/>
      <c r="J157" s="119"/>
      <c r="K157" s="109"/>
      <c r="L157" s="234"/>
      <c r="M157" s="234"/>
      <c r="N157" s="109"/>
      <c r="O157" s="239"/>
      <c r="P157" s="123"/>
      <c r="Q157" s="242"/>
      <c r="R157" s="239"/>
      <c r="S157" s="106"/>
    </row>
    <row r="158" spans="2:19" x14ac:dyDescent="0.25">
      <c r="B158" s="114"/>
      <c r="C158" s="114"/>
      <c r="D158" s="116"/>
      <c r="E158" s="118"/>
      <c r="F158" s="117"/>
      <c r="G158" s="118"/>
      <c r="H158" s="119"/>
      <c r="I158" s="119"/>
      <c r="J158" s="119"/>
      <c r="K158" s="109"/>
      <c r="L158" s="234"/>
      <c r="M158" s="234"/>
      <c r="N158" s="109"/>
      <c r="O158" s="239"/>
      <c r="P158" s="123"/>
      <c r="Q158" s="242"/>
      <c r="R158" s="239"/>
      <c r="S158" s="106"/>
    </row>
    <row r="159" spans="2:19" x14ac:dyDescent="0.25">
      <c r="B159" s="114"/>
      <c r="C159" s="114"/>
      <c r="D159" s="116"/>
      <c r="E159" s="118"/>
      <c r="F159" s="117"/>
      <c r="G159" s="118"/>
      <c r="H159" s="119"/>
      <c r="I159" s="119"/>
      <c r="J159" s="119"/>
      <c r="K159" s="109"/>
      <c r="L159" s="234"/>
      <c r="M159" s="234"/>
      <c r="N159" s="109"/>
      <c r="O159" s="239"/>
      <c r="P159" s="123"/>
      <c r="Q159" s="242"/>
      <c r="R159" s="239"/>
      <c r="S159" s="106"/>
    </row>
    <row r="160" spans="2:19" x14ac:dyDescent="0.25">
      <c r="B160" s="114"/>
      <c r="C160" s="114"/>
      <c r="D160" s="116"/>
      <c r="E160" s="118"/>
      <c r="F160" s="117"/>
      <c r="G160" s="118"/>
      <c r="H160" s="119"/>
      <c r="I160" s="119"/>
      <c r="J160" s="119"/>
      <c r="K160" s="109"/>
      <c r="L160" s="234"/>
      <c r="M160" s="234"/>
      <c r="N160" s="109"/>
      <c r="O160" s="239"/>
      <c r="P160" s="123"/>
      <c r="Q160" s="242"/>
      <c r="R160" s="239"/>
      <c r="S160" s="106"/>
    </row>
    <row r="161" spans="2:19" x14ac:dyDescent="0.25">
      <c r="B161" s="114"/>
      <c r="C161" s="114"/>
      <c r="D161" s="116"/>
      <c r="E161" s="118"/>
      <c r="F161" s="117"/>
      <c r="G161" s="118"/>
      <c r="H161" s="119"/>
      <c r="I161" s="119"/>
      <c r="J161" s="119"/>
      <c r="K161" s="109"/>
      <c r="L161" s="234"/>
      <c r="M161" s="234"/>
      <c r="N161" s="109"/>
      <c r="O161" s="239"/>
      <c r="P161" s="123"/>
      <c r="Q161" s="242"/>
      <c r="R161" s="239"/>
      <c r="S161" s="106"/>
    </row>
    <row r="162" spans="2:19" x14ac:dyDescent="0.25">
      <c r="B162" s="114"/>
      <c r="C162" s="114"/>
      <c r="D162" s="116"/>
      <c r="E162" s="118"/>
      <c r="F162" s="117"/>
      <c r="G162" s="118"/>
      <c r="H162" s="119"/>
      <c r="I162" s="119"/>
      <c r="J162" s="119"/>
      <c r="K162" s="109"/>
      <c r="L162" s="234"/>
      <c r="M162" s="234"/>
      <c r="N162" s="109"/>
      <c r="O162" s="239"/>
      <c r="P162" s="123"/>
      <c r="Q162" s="242"/>
      <c r="R162" s="239"/>
      <c r="S162" s="106"/>
    </row>
    <row r="163" spans="2:19" x14ac:dyDescent="0.25">
      <c r="B163" s="114"/>
      <c r="C163" s="114"/>
      <c r="D163" s="116"/>
      <c r="E163" s="118"/>
      <c r="F163" s="117"/>
      <c r="G163" s="118"/>
      <c r="H163" s="119"/>
      <c r="I163" s="119"/>
      <c r="J163" s="119"/>
      <c r="K163" s="109"/>
      <c r="L163" s="234"/>
      <c r="M163" s="234"/>
      <c r="N163" s="109"/>
      <c r="O163" s="239"/>
      <c r="P163" s="123"/>
      <c r="Q163" s="242"/>
      <c r="R163" s="239"/>
      <c r="S163" s="106"/>
    </row>
    <row r="164" spans="2:19" x14ac:dyDescent="0.25">
      <c r="B164" s="114"/>
      <c r="C164" s="114"/>
      <c r="D164" s="116"/>
      <c r="E164" s="118"/>
      <c r="F164" s="117"/>
      <c r="G164" s="118"/>
      <c r="H164" s="119"/>
      <c r="I164" s="119"/>
      <c r="J164" s="119"/>
      <c r="K164" s="109"/>
      <c r="L164" s="234"/>
      <c r="M164" s="234"/>
      <c r="N164" s="109"/>
      <c r="O164" s="239"/>
      <c r="P164" s="123"/>
      <c r="Q164" s="242"/>
      <c r="R164" s="239"/>
      <c r="S164" s="106"/>
    </row>
    <row r="165" spans="2:19" x14ac:dyDescent="0.25">
      <c r="B165" s="114"/>
      <c r="C165" s="114"/>
      <c r="D165" s="116"/>
      <c r="E165" s="118"/>
      <c r="F165" s="117"/>
      <c r="G165" s="118"/>
      <c r="H165" s="119"/>
      <c r="I165" s="119"/>
      <c r="J165" s="119"/>
      <c r="K165" s="109"/>
      <c r="L165" s="234"/>
      <c r="M165" s="234"/>
      <c r="N165" s="109"/>
      <c r="O165" s="239"/>
      <c r="P165" s="123"/>
      <c r="Q165" s="242"/>
      <c r="R165" s="239"/>
      <c r="S165" s="106"/>
    </row>
    <row r="166" spans="2:19" x14ac:dyDescent="0.25">
      <c r="B166" s="114"/>
      <c r="C166" s="114"/>
      <c r="D166" s="116"/>
      <c r="E166" s="118"/>
      <c r="F166" s="117"/>
      <c r="G166" s="118"/>
      <c r="H166" s="119"/>
      <c r="I166" s="119"/>
      <c r="J166" s="119"/>
      <c r="K166" s="109"/>
      <c r="L166" s="234"/>
      <c r="M166" s="234"/>
      <c r="N166" s="109"/>
      <c r="O166" s="239"/>
      <c r="P166" s="123"/>
      <c r="Q166" s="242"/>
      <c r="R166" s="239"/>
      <c r="S166" s="106"/>
    </row>
    <row r="167" spans="2:19" x14ac:dyDescent="0.25">
      <c r="B167" s="114"/>
      <c r="C167" s="114"/>
      <c r="D167" s="116"/>
      <c r="E167" s="118"/>
      <c r="F167" s="117"/>
      <c r="G167" s="118"/>
      <c r="H167" s="119"/>
      <c r="I167" s="119"/>
      <c r="J167" s="119"/>
      <c r="K167" s="109"/>
      <c r="L167" s="234"/>
      <c r="M167" s="234"/>
      <c r="N167" s="109"/>
      <c r="O167" s="239"/>
      <c r="P167" s="123"/>
      <c r="Q167" s="242"/>
      <c r="R167" s="239"/>
      <c r="S167" s="106"/>
    </row>
    <row r="168" spans="2:19" x14ac:dyDescent="0.25">
      <c r="B168" s="114"/>
      <c r="C168" s="114"/>
      <c r="D168" s="116"/>
      <c r="E168" s="118"/>
      <c r="F168" s="117"/>
      <c r="G168" s="118"/>
      <c r="H168" s="119"/>
      <c r="I168" s="119"/>
      <c r="J168" s="119"/>
      <c r="K168" s="109"/>
      <c r="L168" s="234"/>
      <c r="M168" s="234"/>
      <c r="N168" s="109"/>
      <c r="O168" s="239"/>
      <c r="P168" s="123"/>
      <c r="Q168" s="242"/>
      <c r="R168" s="239"/>
      <c r="S168" s="106"/>
    </row>
    <row r="169" spans="2:19" x14ac:dyDescent="0.25">
      <c r="B169" s="114"/>
      <c r="C169" s="114"/>
      <c r="D169" s="116"/>
      <c r="E169" s="118"/>
      <c r="F169" s="117"/>
      <c r="G169" s="118"/>
      <c r="H169" s="119"/>
      <c r="I169" s="119"/>
      <c r="J169" s="119"/>
      <c r="K169" s="109"/>
      <c r="L169" s="234"/>
      <c r="M169" s="234"/>
      <c r="N169" s="109"/>
      <c r="O169" s="239"/>
      <c r="P169" s="123"/>
      <c r="Q169" s="242"/>
      <c r="R169" s="239"/>
      <c r="S169" s="106"/>
    </row>
    <row r="170" spans="2:19" x14ac:dyDescent="0.25">
      <c r="B170" s="114"/>
      <c r="C170" s="114"/>
      <c r="D170" s="116"/>
      <c r="E170" s="118"/>
      <c r="F170" s="117"/>
      <c r="G170" s="118"/>
      <c r="H170" s="119"/>
      <c r="I170" s="119"/>
      <c r="J170" s="119"/>
      <c r="K170" s="109"/>
      <c r="L170" s="234"/>
      <c r="M170" s="234"/>
      <c r="N170" s="109"/>
      <c r="O170" s="239"/>
      <c r="P170" s="123"/>
      <c r="Q170" s="242"/>
      <c r="R170" s="239"/>
      <c r="S170" s="106"/>
    </row>
    <row r="171" spans="2:19" x14ac:dyDescent="0.25">
      <c r="B171" s="114"/>
      <c r="C171" s="114"/>
      <c r="D171" s="116"/>
      <c r="E171" s="118"/>
      <c r="F171" s="117"/>
      <c r="G171" s="118"/>
      <c r="H171" s="119"/>
      <c r="I171" s="119"/>
      <c r="J171" s="119"/>
      <c r="K171" s="109"/>
      <c r="L171" s="234"/>
      <c r="M171" s="234"/>
      <c r="N171" s="109"/>
      <c r="O171" s="239"/>
      <c r="P171" s="123"/>
      <c r="Q171" s="242"/>
      <c r="R171" s="239"/>
      <c r="S171" s="106"/>
    </row>
    <row r="172" spans="2:19" x14ac:dyDescent="0.25">
      <c r="B172" s="114"/>
      <c r="C172" s="114"/>
      <c r="D172" s="116"/>
      <c r="E172" s="118"/>
      <c r="F172" s="117"/>
      <c r="G172" s="118"/>
      <c r="H172" s="119"/>
      <c r="I172" s="119"/>
      <c r="J172" s="119"/>
      <c r="K172" s="109"/>
      <c r="L172" s="234"/>
      <c r="M172" s="234"/>
      <c r="N172" s="109"/>
      <c r="O172" s="239"/>
      <c r="P172" s="123"/>
      <c r="Q172" s="242"/>
      <c r="R172" s="239"/>
      <c r="S172" s="106"/>
    </row>
    <row r="173" spans="2:19" x14ac:dyDescent="0.25">
      <c r="B173" s="114"/>
      <c r="C173" s="114"/>
      <c r="D173" s="116"/>
      <c r="E173" s="118"/>
      <c r="F173" s="117"/>
      <c r="G173" s="118"/>
      <c r="H173" s="119"/>
      <c r="I173" s="119"/>
      <c r="J173" s="119"/>
      <c r="K173" s="109"/>
      <c r="L173" s="234"/>
      <c r="M173" s="234"/>
      <c r="N173" s="109"/>
      <c r="O173" s="239"/>
      <c r="P173" s="123"/>
      <c r="Q173" s="242"/>
      <c r="R173" s="239"/>
      <c r="S173" s="106"/>
    </row>
    <row r="174" spans="2:19" x14ac:dyDescent="0.25">
      <c r="B174" s="114"/>
      <c r="C174" s="114"/>
      <c r="D174" s="116"/>
      <c r="E174" s="118"/>
      <c r="F174" s="117"/>
      <c r="G174" s="118"/>
      <c r="H174" s="119"/>
      <c r="I174" s="119"/>
      <c r="J174" s="119"/>
      <c r="K174" s="109"/>
      <c r="L174" s="234"/>
      <c r="M174" s="234"/>
      <c r="N174" s="109"/>
      <c r="O174" s="239"/>
      <c r="P174" s="123"/>
      <c r="Q174" s="242"/>
      <c r="R174" s="239"/>
      <c r="S174" s="106"/>
    </row>
    <row r="175" spans="2:19" x14ac:dyDescent="0.25">
      <c r="B175" s="114"/>
      <c r="C175" s="114"/>
      <c r="D175" s="116"/>
      <c r="E175" s="118"/>
      <c r="F175" s="117"/>
      <c r="G175" s="118"/>
      <c r="H175" s="119"/>
      <c r="I175" s="119"/>
      <c r="J175" s="119"/>
      <c r="K175" s="109"/>
      <c r="L175" s="234"/>
      <c r="M175" s="234"/>
      <c r="N175" s="109"/>
      <c r="O175" s="239"/>
      <c r="P175" s="123"/>
      <c r="Q175" s="242"/>
      <c r="R175" s="239"/>
      <c r="S175" s="106"/>
    </row>
    <row r="176" spans="2:19" x14ac:dyDescent="0.25">
      <c r="B176" s="114"/>
      <c r="C176" s="114"/>
      <c r="D176" s="116"/>
      <c r="E176" s="118"/>
      <c r="F176" s="117"/>
      <c r="G176" s="118"/>
      <c r="H176" s="119"/>
      <c r="I176" s="119"/>
      <c r="J176" s="119"/>
      <c r="K176" s="109"/>
      <c r="L176" s="234"/>
      <c r="M176" s="234"/>
      <c r="N176" s="109"/>
      <c r="O176" s="239"/>
      <c r="P176" s="123"/>
      <c r="Q176" s="242"/>
      <c r="R176" s="239"/>
      <c r="S176" s="106"/>
    </row>
    <row r="177" spans="2:19" x14ac:dyDescent="0.25">
      <c r="B177" s="114"/>
      <c r="C177" s="114"/>
      <c r="D177" s="116"/>
      <c r="E177" s="118"/>
      <c r="F177" s="117"/>
      <c r="G177" s="118"/>
      <c r="H177" s="119"/>
      <c r="I177" s="119"/>
      <c r="J177" s="119"/>
      <c r="K177" s="109"/>
      <c r="L177" s="234"/>
      <c r="M177" s="234"/>
      <c r="N177" s="109"/>
      <c r="O177" s="239"/>
      <c r="P177" s="123"/>
      <c r="Q177" s="242"/>
      <c r="R177" s="239"/>
      <c r="S177" s="106"/>
    </row>
    <row r="178" spans="2:19" x14ac:dyDescent="0.25">
      <c r="B178" s="114"/>
      <c r="C178" s="114"/>
      <c r="D178" s="116"/>
      <c r="E178" s="118"/>
      <c r="F178" s="117"/>
      <c r="G178" s="118"/>
      <c r="H178" s="119"/>
      <c r="I178" s="119"/>
      <c r="J178" s="119"/>
      <c r="K178" s="109"/>
      <c r="L178" s="234"/>
      <c r="M178" s="234"/>
      <c r="N178" s="109"/>
      <c r="O178" s="239"/>
      <c r="P178" s="123"/>
      <c r="Q178" s="242"/>
      <c r="R178" s="239"/>
      <c r="S178" s="106"/>
    </row>
    <row r="179" spans="2:19" x14ac:dyDescent="0.25">
      <c r="B179" s="114"/>
      <c r="C179" s="114"/>
      <c r="D179" s="116"/>
      <c r="E179" s="118"/>
      <c r="F179" s="117"/>
      <c r="G179" s="118"/>
      <c r="H179" s="119"/>
      <c r="I179" s="119"/>
      <c r="J179" s="119"/>
      <c r="K179" s="109"/>
      <c r="L179" s="234"/>
      <c r="M179" s="234"/>
      <c r="N179" s="109"/>
      <c r="O179" s="239"/>
      <c r="P179" s="123"/>
      <c r="Q179" s="242"/>
      <c r="R179" s="239"/>
      <c r="S179" s="106"/>
    </row>
    <row r="180" spans="2:19" x14ac:dyDescent="0.25">
      <c r="B180" s="3"/>
      <c r="C180" s="3"/>
      <c r="D180" s="56"/>
      <c r="E180" s="4"/>
      <c r="F180" s="7"/>
      <c r="G180" s="4"/>
      <c r="H180" s="8"/>
      <c r="I180" s="8"/>
      <c r="J180" s="8"/>
      <c r="K180" s="9"/>
      <c r="L180" s="236"/>
      <c r="M180" s="236"/>
      <c r="O180" s="240"/>
      <c r="P180" s="10"/>
      <c r="Q180" s="243"/>
      <c r="R180" s="240"/>
    </row>
    <row r="181" spans="2:19" x14ac:dyDescent="0.25">
      <c r="B181" s="3"/>
      <c r="C181" s="3"/>
      <c r="D181" s="56"/>
      <c r="E181" s="4"/>
      <c r="F181" s="7"/>
      <c r="G181" s="4"/>
      <c r="H181" s="8"/>
      <c r="I181" s="8"/>
      <c r="J181" s="8"/>
      <c r="K181" s="9"/>
      <c r="L181" s="236"/>
      <c r="M181" s="236"/>
      <c r="O181" s="240"/>
      <c r="P181" s="10"/>
      <c r="Q181" s="243"/>
      <c r="R181" s="240"/>
    </row>
    <row r="182" spans="2:19" x14ac:dyDescent="0.25">
      <c r="B182" s="3"/>
      <c r="C182" s="3"/>
      <c r="D182" s="56"/>
      <c r="E182" s="4"/>
      <c r="F182" s="7"/>
      <c r="G182" s="4"/>
      <c r="H182" s="8"/>
      <c r="I182" s="8"/>
      <c r="J182" s="8"/>
      <c r="K182" s="9"/>
      <c r="L182" s="236"/>
      <c r="M182" s="236"/>
      <c r="O182" s="240"/>
      <c r="P182" s="10"/>
      <c r="Q182" s="243"/>
      <c r="R182" s="240"/>
    </row>
    <row r="183" spans="2:19" x14ac:dyDescent="0.25">
      <c r="B183" s="3"/>
      <c r="C183" s="3"/>
      <c r="D183" s="56"/>
      <c r="E183" s="4"/>
      <c r="F183" s="7"/>
      <c r="G183" s="4"/>
      <c r="H183" s="8"/>
      <c r="I183" s="8"/>
      <c r="J183" s="8"/>
      <c r="K183" s="9"/>
      <c r="L183" s="236"/>
      <c r="M183" s="236"/>
      <c r="O183" s="240"/>
      <c r="P183" s="10"/>
      <c r="Q183" s="243"/>
      <c r="R183" s="240"/>
    </row>
    <row r="184" spans="2:19" x14ac:dyDescent="0.25">
      <c r="B184" s="3"/>
      <c r="C184" s="3"/>
      <c r="D184" s="56"/>
      <c r="E184" s="4"/>
      <c r="F184" s="7"/>
      <c r="G184" s="4"/>
      <c r="H184" s="8"/>
      <c r="I184" s="8"/>
      <c r="J184" s="8"/>
      <c r="K184" s="9"/>
      <c r="L184" s="236"/>
      <c r="M184" s="236"/>
      <c r="O184" s="240"/>
      <c r="P184" s="10"/>
      <c r="Q184" s="243"/>
      <c r="R184" s="240"/>
    </row>
    <row r="185" spans="2:19" x14ac:dyDescent="0.25">
      <c r="B185" s="3"/>
      <c r="C185" s="3"/>
      <c r="D185" s="56"/>
      <c r="E185" s="4"/>
      <c r="F185" s="7"/>
      <c r="G185" s="4"/>
      <c r="H185" s="8"/>
      <c r="I185" s="8"/>
      <c r="J185" s="8"/>
      <c r="K185" s="9"/>
      <c r="L185" s="236"/>
      <c r="M185" s="236"/>
      <c r="O185" s="240"/>
      <c r="P185" s="10"/>
      <c r="Q185" s="243"/>
      <c r="R185" s="240"/>
    </row>
    <row r="186" spans="2:19" x14ac:dyDescent="0.25">
      <c r="B186" s="3"/>
      <c r="C186" s="3"/>
      <c r="D186" s="56"/>
      <c r="E186" s="4"/>
      <c r="F186" s="7"/>
      <c r="G186" s="4"/>
      <c r="H186" s="8"/>
      <c r="I186" s="8"/>
      <c r="J186" s="8"/>
      <c r="K186" s="9"/>
      <c r="L186" s="236"/>
      <c r="M186" s="236"/>
      <c r="O186" s="240"/>
      <c r="P186" s="10"/>
      <c r="Q186" s="243"/>
      <c r="R186" s="240"/>
    </row>
    <row r="187" spans="2:19" x14ac:dyDescent="0.25">
      <c r="B187" s="3"/>
      <c r="C187" s="3"/>
      <c r="D187" s="56"/>
      <c r="E187" s="4"/>
      <c r="F187" s="7"/>
      <c r="G187" s="4"/>
      <c r="H187" s="8"/>
      <c r="I187" s="8"/>
      <c r="J187" s="8"/>
      <c r="K187" s="9"/>
      <c r="L187" s="236"/>
      <c r="M187" s="236"/>
      <c r="O187" s="240"/>
      <c r="P187" s="10"/>
      <c r="Q187" s="243"/>
      <c r="R187" s="240"/>
    </row>
    <row r="188" spans="2:19" x14ac:dyDescent="0.25">
      <c r="B188" s="3"/>
      <c r="C188" s="3"/>
      <c r="D188" s="56"/>
      <c r="E188" s="4"/>
      <c r="F188" s="7"/>
      <c r="G188" s="4"/>
      <c r="H188" s="8"/>
      <c r="I188" s="8"/>
      <c r="J188" s="8"/>
      <c r="K188" s="9"/>
      <c r="L188" s="236"/>
      <c r="M188" s="236"/>
      <c r="O188" s="240"/>
      <c r="P188" s="10"/>
      <c r="Q188" s="243"/>
      <c r="R188" s="240"/>
    </row>
    <row r="189" spans="2:19" x14ac:dyDescent="0.25">
      <c r="B189" s="3"/>
      <c r="C189" s="3"/>
      <c r="D189" s="56"/>
      <c r="E189" s="4"/>
      <c r="F189" s="7"/>
      <c r="G189" s="4"/>
      <c r="H189" s="8"/>
      <c r="I189" s="8"/>
      <c r="J189" s="8"/>
      <c r="K189" s="9"/>
      <c r="L189" s="236"/>
      <c r="M189" s="236"/>
      <c r="O189" s="240"/>
      <c r="P189" s="10"/>
      <c r="Q189" s="243"/>
      <c r="R189" s="240"/>
    </row>
    <row r="190" spans="2:19" x14ac:dyDescent="0.25">
      <c r="B190" s="3"/>
      <c r="C190" s="3"/>
      <c r="D190" s="56"/>
      <c r="E190" s="4"/>
      <c r="F190" s="7"/>
      <c r="G190" s="4"/>
      <c r="H190" s="8"/>
      <c r="I190" s="8"/>
      <c r="J190" s="8"/>
      <c r="K190" s="9"/>
      <c r="L190" s="236"/>
      <c r="M190" s="236"/>
      <c r="O190" s="240"/>
      <c r="P190" s="10"/>
      <c r="Q190" s="243"/>
      <c r="R190" s="240"/>
    </row>
    <row r="191" spans="2:19" x14ac:dyDescent="0.25">
      <c r="B191" s="3"/>
      <c r="C191" s="3"/>
      <c r="D191" s="56"/>
      <c r="E191" s="4"/>
      <c r="F191" s="7"/>
      <c r="G191" s="4"/>
      <c r="H191" s="8"/>
      <c r="I191" s="8"/>
      <c r="J191" s="8"/>
      <c r="K191" s="9"/>
      <c r="L191" s="236"/>
      <c r="M191" s="236"/>
      <c r="O191" s="240"/>
      <c r="P191" s="10"/>
      <c r="Q191" s="243"/>
      <c r="R191" s="240"/>
    </row>
    <row r="192" spans="2:19" x14ac:dyDescent="0.25">
      <c r="B192" s="3"/>
      <c r="C192" s="3"/>
      <c r="D192" s="56"/>
      <c r="E192" s="4"/>
      <c r="F192" s="7"/>
      <c r="G192" s="4"/>
      <c r="H192" s="8"/>
      <c r="I192" s="8"/>
      <c r="J192" s="8"/>
      <c r="K192" s="9"/>
      <c r="L192" s="236"/>
      <c r="M192" s="236"/>
      <c r="O192" s="240"/>
      <c r="P192" s="10"/>
      <c r="Q192" s="243"/>
      <c r="R192" s="240"/>
    </row>
    <row r="193" spans="2:18" x14ac:dyDescent="0.25">
      <c r="B193" s="3"/>
      <c r="C193" s="3"/>
      <c r="D193" s="56"/>
      <c r="E193" s="4"/>
      <c r="F193" s="7"/>
      <c r="G193" s="4"/>
      <c r="H193" s="8"/>
      <c r="I193" s="8"/>
      <c r="J193" s="8"/>
      <c r="K193" s="9"/>
      <c r="L193" s="236"/>
      <c r="M193" s="236"/>
      <c r="O193" s="240"/>
      <c r="P193" s="10"/>
      <c r="Q193" s="243"/>
      <c r="R193" s="240"/>
    </row>
    <row r="194" spans="2:18" x14ac:dyDescent="0.25">
      <c r="B194" s="3"/>
      <c r="C194" s="3"/>
      <c r="D194" s="56"/>
      <c r="E194" s="4"/>
      <c r="F194" s="7"/>
      <c r="G194" s="4"/>
      <c r="H194" s="8"/>
      <c r="I194" s="8"/>
      <c r="J194" s="8"/>
      <c r="K194" s="9"/>
      <c r="L194" s="236"/>
      <c r="M194" s="236"/>
      <c r="O194" s="240"/>
      <c r="P194" s="10"/>
      <c r="Q194" s="243"/>
      <c r="R194" s="240"/>
    </row>
    <row r="195" spans="2:18" x14ac:dyDescent="0.25">
      <c r="B195" s="3"/>
      <c r="C195" s="3"/>
      <c r="D195" s="56"/>
      <c r="E195" s="4"/>
      <c r="F195" s="7"/>
      <c r="G195" s="4"/>
      <c r="H195" s="8"/>
      <c r="I195" s="8"/>
      <c r="J195" s="8"/>
      <c r="K195" s="9"/>
      <c r="L195" s="236"/>
      <c r="M195" s="236"/>
      <c r="O195" s="240"/>
      <c r="P195" s="10"/>
      <c r="Q195" s="243"/>
      <c r="R195" s="240"/>
    </row>
    <row r="196" spans="2:18" x14ac:dyDescent="0.25">
      <c r="B196" s="3"/>
      <c r="C196" s="3"/>
      <c r="D196" s="56"/>
      <c r="E196" s="4"/>
      <c r="F196" s="7"/>
      <c r="G196" s="4"/>
      <c r="H196" s="8"/>
      <c r="I196" s="8"/>
      <c r="J196" s="8"/>
      <c r="K196" s="9"/>
      <c r="L196" s="236"/>
      <c r="M196" s="236"/>
      <c r="O196" s="240"/>
      <c r="P196" s="10"/>
      <c r="Q196" s="243"/>
      <c r="R196" s="240"/>
    </row>
    <row r="197" spans="2:18" x14ac:dyDescent="0.25">
      <c r="B197" s="3"/>
      <c r="C197" s="3"/>
      <c r="D197" s="56"/>
      <c r="E197" s="4"/>
      <c r="F197" s="7"/>
      <c r="G197" s="4"/>
      <c r="H197" s="8"/>
      <c r="I197" s="8"/>
      <c r="J197" s="8"/>
      <c r="K197" s="9"/>
      <c r="L197" s="236"/>
      <c r="M197" s="236"/>
      <c r="O197" s="240"/>
      <c r="P197" s="10"/>
      <c r="Q197" s="243"/>
      <c r="R197" s="240"/>
    </row>
    <row r="198" spans="2:18" x14ac:dyDescent="0.25">
      <c r="B198" s="3"/>
      <c r="C198" s="3"/>
      <c r="D198" s="56"/>
      <c r="E198" s="4"/>
      <c r="F198" s="7"/>
      <c r="G198" s="4"/>
      <c r="H198" s="8"/>
      <c r="I198" s="8"/>
      <c r="J198" s="8"/>
      <c r="K198" s="9"/>
      <c r="L198" s="236"/>
      <c r="M198" s="236"/>
      <c r="O198" s="240"/>
      <c r="P198" s="10"/>
      <c r="Q198" s="243"/>
      <c r="R198" s="240"/>
    </row>
    <row r="199" spans="2:18" x14ac:dyDescent="0.25">
      <c r="B199" s="3"/>
      <c r="C199" s="3"/>
      <c r="D199" s="56"/>
      <c r="E199" s="4"/>
      <c r="F199" s="7"/>
      <c r="G199" s="4"/>
      <c r="H199" s="8"/>
      <c r="I199" s="8"/>
      <c r="J199" s="8"/>
      <c r="K199" s="9"/>
      <c r="L199" s="236"/>
      <c r="M199" s="236"/>
      <c r="O199" s="240"/>
      <c r="P199" s="10"/>
      <c r="Q199" s="243"/>
      <c r="R199" s="240"/>
    </row>
    <row r="200" spans="2:18" x14ac:dyDescent="0.25">
      <c r="B200" s="3"/>
      <c r="C200" s="3"/>
      <c r="D200" s="56"/>
      <c r="E200" s="4"/>
      <c r="F200" s="7"/>
      <c r="G200" s="4"/>
      <c r="H200" s="8"/>
      <c r="I200" s="8"/>
      <c r="J200" s="8"/>
      <c r="K200" s="9"/>
      <c r="L200" s="236"/>
      <c r="M200" s="236"/>
      <c r="O200" s="240"/>
      <c r="P200" s="10"/>
      <c r="Q200" s="243"/>
      <c r="R200" s="240"/>
    </row>
    <row r="201" spans="2:18" x14ac:dyDescent="0.25">
      <c r="B201" s="3"/>
      <c r="C201" s="3"/>
      <c r="D201" s="56"/>
      <c r="E201" s="4"/>
      <c r="F201" s="7"/>
      <c r="G201" s="4"/>
      <c r="H201" s="8"/>
      <c r="I201" s="8"/>
      <c r="J201" s="8"/>
      <c r="K201" s="9"/>
      <c r="L201" s="236"/>
      <c r="M201" s="236"/>
      <c r="O201" s="240"/>
      <c r="P201" s="10"/>
      <c r="Q201" s="243"/>
      <c r="R201" s="240"/>
    </row>
    <row r="202" spans="2:18" x14ac:dyDescent="0.25">
      <c r="B202" s="3"/>
      <c r="C202" s="3"/>
      <c r="D202" s="56"/>
      <c r="E202" s="4"/>
      <c r="F202" s="7"/>
      <c r="G202" s="4"/>
      <c r="H202" s="8"/>
      <c r="I202" s="8"/>
      <c r="J202" s="8"/>
      <c r="K202" s="9"/>
      <c r="L202" s="236"/>
      <c r="M202" s="236"/>
      <c r="O202" s="240"/>
      <c r="P202" s="10"/>
      <c r="Q202" s="243"/>
      <c r="R202" s="240"/>
    </row>
    <row r="203" spans="2:18" x14ac:dyDescent="0.25">
      <c r="B203" s="3"/>
      <c r="C203" s="3"/>
      <c r="D203" s="56"/>
      <c r="E203" s="4"/>
      <c r="F203" s="7"/>
      <c r="G203" s="4"/>
      <c r="H203" s="8"/>
      <c r="I203" s="8"/>
      <c r="J203" s="8"/>
      <c r="K203" s="9"/>
      <c r="L203" s="236"/>
      <c r="M203" s="236"/>
      <c r="O203" s="240"/>
      <c r="P203" s="10"/>
      <c r="Q203" s="243"/>
      <c r="R203" s="240"/>
    </row>
    <row r="204" spans="2:18" x14ac:dyDescent="0.25">
      <c r="B204" s="3"/>
      <c r="C204" s="3"/>
      <c r="D204" s="56"/>
      <c r="E204" s="4"/>
      <c r="F204" s="7"/>
      <c r="G204" s="4"/>
      <c r="H204" s="8"/>
      <c r="I204" s="8"/>
      <c r="J204" s="8"/>
      <c r="K204" s="9"/>
      <c r="L204" s="236"/>
      <c r="M204" s="236"/>
      <c r="O204" s="240"/>
      <c r="P204" s="10"/>
      <c r="Q204" s="243"/>
      <c r="R204" s="240"/>
    </row>
    <row r="205" spans="2:18" x14ac:dyDescent="0.25">
      <c r="B205" s="3"/>
      <c r="C205" s="3"/>
      <c r="D205" s="56"/>
      <c r="E205" s="4"/>
      <c r="F205" s="7"/>
      <c r="G205" s="4"/>
      <c r="H205" s="8"/>
      <c r="I205" s="8"/>
      <c r="J205" s="8"/>
      <c r="K205" s="9"/>
      <c r="L205" s="236"/>
      <c r="M205" s="236"/>
      <c r="O205" s="240"/>
      <c r="P205" s="10"/>
      <c r="Q205" s="243"/>
      <c r="R205" s="240"/>
    </row>
    <row r="206" spans="2:18" x14ac:dyDescent="0.25">
      <c r="B206" s="3"/>
      <c r="C206" s="3"/>
      <c r="D206" s="56"/>
      <c r="E206" s="4"/>
      <c r="F206" s="7"/>
      <c r="G206" s="4"/>
      <c r="H206" s="8"/>
      <c r="I206" s="8"/>
      <c r="J206" s="8"/>
      <c r="K206" s="9"/>
      <c r="L206" s="236"/>
      <c r="M206" s="236"/>
      <c r="O206" s="240"/>
      <c r="P206" s="10"/>
      <c r="Q206" s="243"/>
      <c r="R206" s="240"/>
    </row>
    <row r="207" spans="2:18" x14ac:dyDescent="0.25">
      <c r="B207" s="3"/>
      <c r="C207" s="3"/>
      <c r="D207" s="56"/>
      <c r="E207" s="4"/>
      <c r="F207" s="7"/>
      <c r="G207" s="4"/>
      <c r="H207" s="8"/>
      <c r="I207" s="8"/>
      <c r="J207" s="8"/>
      <c r="K207" s="9"/>
      <c r="L207" s="236"/>
      <c r="M207" s="236"/>
      <c r="O207" s="240"/>
      <c r="P207" s="10"/>
      <c r="Q207" s="243"/>
      <c r="R207" s="240"/>
    </row>
    <row r="208" spans="2:18" x14ac:dyDescent="0.25">
      <c r="B208" s="3"/>
      <c r="C208" s="3"/>
      <c r="D208" s="56"/>
      <c r="E208" s="4"/>
      <c r="F208" s="7"/>
      <c r="G208" s="4"/>
      <c r="H208" s="8"/>
      <c r="I208" s="8"/>
      <c r="J208" s="8"/>
      <c r="K208" s="9"/>
      <c r="L208" s="236"/>
      <c r="M208" s="236"/>
      <c r="O208" s="240"/>
      <c r="P208" s="10"/>
      <c r="Q208" s="243"/>
      <c r="R208" s="240"/>
    </row>
    <row r="209" spans="2:18" x14ac:dyDescent="0.25">
      <c r="B209" s="3"/>
      <c r="C209" s="3"/>
      <c r="D209" s="56"/>
      <c r="E209" s="4"/>
      <c r="F209" s="7"/>
      <c r="G209" s="4"/>
      <c r="H209" s="8"/>
      <c r="I209" s="8"/>
      <c r="J209" s="8"/>
      <c r="K209" s="9"/>
      <c r="L209" s="236"/>
      <c r="M209" s="236"/>
      <c r="O209" s="240"/>
      <c r="P209" s="10"/>
      <c r="Q209" s="243"/>
      <c r="R209" s="240"/>
    </row>
    <row r="210" spans="2:18" x14ac:dyDescent="0.25">
      <c r="B210" s="3"/>
      <c r="C210" s="3"/>
      <c r="D210" s="56"/>
      <c r="E210" s="4"/>
      <c r="F210" s="7"/>
      <c r="G210" s="4"/>
      <c r="H210" s="8"/>
      <c r="I210" s="8"/>
      <c r="J210" s="8"/>
      <c r="K210" s="9"/>
      <c r="L210" s="236"/>
      <c r="M210" s="236"/>
      <c r="O210" s="240"/>
      <c r="P210" s="10"/>
      <c r="Q210" s="243"/>
      <c r="R210" s="240"/>
    </row>
    <row r="211" spans="2:18" x14ac:dyDescent="0.25">
      <c r="B211" s="3"/>
      <c r="C211" s="3"/>
      <c r="D211" s="56"/>
      <c r="E211" s="4"/>
      <c r="F211" s="7"/>
      <c r="G211" s="4"/>
      <c r="H211" s="8"/>
      <c r="I211" s="8"/>
      <c r="J211" s="8"/>
      <c r="K211" s="9"/>
      <c r="L211" s="236"/>
      <c r="M211" s="236"/>
      <c r="O211" s="240"/>
      <c r="P211" s="10"/>
      <c r="Q211" s="243"/>
      <c r="R211" s="240"/>
    </row>
    <row r="212" spans="2:18" x14ac:dyDescent="0.25">
      <c r="B212" s="3"/>
      <c r="C212" s="3"/>
      <c r="D212" s="56"/>
      <c r="E212" s="4"/>
      <c r="F212" s="7"/>
      <c r="G212" s="4"/>
      <c r="H212" s="8"/>
      <c r="I212" s="8"/>
      <c r="J212" s="8"/>
      <c r="K212" s="9"/>
      <c r="L212" s="236"/>
      <c r="M212" s="236"/>
      <c r="O212" s="240"/>
      <c r="P212" s="10"/>
      <c r="Q212" s="243"/>
      <c r="R212" s="240"/>
    </row>
    <row r="213" spans="2:18" x14ac:dyDescent="0.25">
      <c r="B213" s="3"/>
      <c r="C213" s="3"/>
      <c r="D213" s="56"/>
      <c r="E213" s="4"/>
      <c r="F213" s="7"/>
      <c r="G213" s="4"/>
      <c r="H213" s="8"/>
      <c r="I213" s="8"/>
      <c r="J213" s="8"/>
      <c r="K213" s="9"/>
      <c r="L213" s="236"/>
      <c r="M213" s="236"/>
      <c r="O213" s="240"/>
      <c r="P213" s="10"/>
      <c r="Q213" s="243"/>
      <c r="R213" s="240"/>
    </row>
    <row r="214" spans="2:18" x14ac:dyDescent="0.25">
      <c r="B214" s="3"/>
      <c r="C214" s="3"/>
      <c r="D214" s="56"/>
      <c r="E214" s="4"/>
      <c r="F214" s="7"/>
      <c r="G214" s="4"/>
      <c r="H214" s="8"/>
      <c r="I214" s="8"/>
      <c r="J214" s="8"/>
      <c r="K214" s="9"/>
      <c r="L214" s="236"/>
      <c r="M214" s="236"/>
      <c r="O214" s="240"/>
      <c r="P214" s="10"/>
      <c r="Q214" s="243"/>
      <c r="R214" s="240"/>
    </row>
    <row r="215" spans="2:18" x14ac:dyDescent="0.25">
      <c r="B215" s="3"/>
      <c r="C215" s="3"/>
      <c r="D215" s="56"/>
      <c r="E215" s="4"/>
      <c r="F215" s="7"/>
      <c r="G215" s="4"/>
      <c r="H215" s="8"/>
      <c r="I215" s="8"/>
      <c r="J215" s="8"/>
      <c r="K215" s="9"/>
      <c r="L215" s="236"/>
      <c r="M215" s="236"/>
      <c r="O215" s="240"/>
      <c r="P215" s="10"/>
      <c r="Q215" s="243"/>
      <c r="R215" s="240"/>
    </row>
    <row r="216" spans="2:18" x14ac:dyDescent="0.25">
      <c r="B216" s="3"/>
      <c r="C216" s="3"/>
      <c r="D216" s="56"/>
      <c r="E216" s="4"/>
      <c r="F216" s="7"/>
      <c r="G216" s="4"/>
      <c r="H216" s="8"/>
      <c r="I216" s="8"/>
      <c r="J216" s="8"/>
      <c r="K216" s="9"/>
      <c r="L216" s="236"/>
      <c r="M216" s="236"/>
      <c r="O216" s="240"/>
      <c r="P216" s="10"/>
      <c r="Q216" s="243"/>
      <c r="R216" s="240"/>
    </row>
    <row r="217" spans="2:18" x14ac:dyDescent="0.25">
      <c r="B217" s="3"/>
      <c r="C217" s="3"/>
      <c r="D217" s="56"/>
      <c r="E217" s="4"/>
      <c r="F217" s="7"/>
      <c r="G217" s="4"/>
      <c r="H217" s="8"/>
      <c r="I217" s="8"/>
      <c r="J217" s="8"/>
      <c r="K217" s="9"/>
      <c r="L217" s="236"/>
      <c r="M217" s="236"/>
      <c r="O217" s="240"/>
      <c r="P217" s="10"/>
      <c r="Q217" s="243"/>
      <c r="R217" s="240"/>
    </row>
    <row r="218" spans="2:18" x14ac:dyDescent="0.25">
      <c r="B218" s="3"/>
      <c r="C218" s="3"/>
      <c r="D218" s="56"/>
      <c r="E218" s="4"/>
      <c r="F218" s="7"/>
      <c r="G218" s="4"/>
      <c r="H218" s="8"/>
      <c r="I218" s="8"/>
      <c r="J218" s="8"/>
      <c r="K218" s="9"/>
      <c r="L218" s="236"/>
      <c r="M218" s="236"/>
      <c r="O218" s="240"/>
      <c r="P218" s="10"/>
      <c r="Q218" s="243"/>
      <c r="R218" s="240"/>
    </row>
    <row r="219" spans="2:18" x14ac:dyDescent="0.25">
      <c r="B219" s="3"/>
      <c r="C219" s="3"/>
      <c r="D219" s="56"/>
      <c r="E219" s="4"/>
      <c r="F219" s="7"/>
      <c r="G219" s="4"/>
      <c r="H219" s="8"/>
      <c r="I219" s="8"/>
      <c r="J219" s="8"/>
      <c r="K219" s="9"/>
      <c r="L219" s="236"/>
      <c r="M219" s="236"/>
      <c r="O219" s="240"/>
      <c r="P219" s="10"/>
      <c r="Q219" s="243"/>
      <c r="R219" s="240"/>
    </row>
    <row r="220" spans="2:18" x14ac:dyDescent="0.25">
      <c r="B220" s="3"/>
      <c r="C220" s="3"/>
      <c r="D220" s="56"/>
      <c r="E220" s="4"/>
      <c r="F220" s="7"/>
      <c r="G220" s="4"/>
      <c r="H220" s="8"/>
      <c r="I220" s="8"/>
      <c r="J220" s="8"/>
      <c r="K220" s="9"/>
      <c r="L220" s="236"/>
      <c r="M220" s="236"/>
      <c r="O220" s="240"/>
      <c r="P220" s="10"/>
      <c r="Q220" s="243"/>
      <c r="R220" s="240"/>
    </row>
    <row r="221" spans="2:18" x14ac:dyDescent="0.25">
      <c r="B221" s="3"/>
      <c r="C221" s="3"/>
      <c r="D221" s="56"/>
      <c r="E221" s="4"/>
      <c r="F221" s="7"/>
      <c r="G221" s="4"/>
      <c r="H221" s="8"/>
      <c r="I221" s="8"/>
      <c r="J221" s="8"/>
      <c r="K221" s="9"/>
      <c r="L221" s="236"/>
      <c r="M221" s="236"/>
      <c r="O221" s="240"/>
      <c r="P221" s="10"/>
      <c r="Q221" s="243"/>
      <c r="R221" s="240"/>
    </row>
    <row r="222" spans="2:18" x14ac:dyDescent="0.25">
      <c r="B222" s="3"/>
      <c r="C222" s="3"/>
      <c r="D222" s="56"/>
      <c r="E222" s="4"/>
      <c r="F222" s="7"/>
      <c r="G222" s="4"/>
      <c r="H222" s="8"/>
      <c r="I222" s="8"/>
      <c r="J222" s="8"/>
      <c r="K222" s="9"/>
      <c r="L222" s="236"/>
      <c r="M222" s="236"/>
      <c r="O222" s="240"/>
      <c r="P222" s="10"/>
      <c r="Q222" s="243"/>
      <c r="R222" s="240"/>
    </row>
    <row r="223" spans="2:18" x14ac:dyDescent="0.25">
      <c r="B223" s="3"/>
      <c r="C223" s="3"/>
      <c r="D223" s="56"/>
      <c r="E223" s="4"/>
      <c r="F223" s="7"/>
      <c r="G223" s="4"/>
      <c r="H223" s="8"/>
      <c r="I223" s="8"/>
      <c r="J223" s="8"/>
      <c r="K223" s="9"/>
      <c r="L223" s="236"/>
      <c r="M223" s="236"/>
      <c r="O223" s="240"/>
      <c r="P223" s="10"/>
      <c r="Q223" s="243"/>
      <c r="R223" s="240"/>
    </row>
    <row r="224" spans="2:18" x14ac:dyDescent="0.25">
      <c r="B224" s="3"/>
      <c r="C224" s="3"/>
      <c r="D224" s="56"/>
      <c r="E224" s="4"/>
      <c r="F224" s="7"/>
      <c r="G224" s="4"/>
      <c r="H224" s="8"/>
      <c r="I224" s="8"/>
      <c r="J224" s="8"/>
      <c r="K224" s="9"/>
      <c r="L224" s="236"/>
      <c r="M224" s="236"/>
      <c r="O224" s="240"/>
      <c r="P224" s="10"/>
      <c r="Q224" s="243"/>
      <c r="R224" s="240"/>
    </row>
    <row r="225" spans="2:18" x14ac:dyDescent="0.25">
      <c r="B225" s="3"/>
      <c r="C225" s="3"/>
      <c r="D225" s="56"/>
      <c r="E225" s="4"/>
      <c r="F225" s="7"/>
      <c r="G225" s="4"/>
      <c r="H225" s="8"/>
      <c r="I225" s="8"/>
      <c r="J225" s="8"/>
      <c r="K225" s="9"/>
      <c r="L225" s="236"/>
      <c r="M225" s="236"/>
      <c r="O225" s="240"/>
      <c r="P225" s="10"/>
      <c r="Q225" s="243"/>
      <c r="R225" s="240"/>
    </row>
    <row r="226" spans="2:18" x14ac:dyDescent="0.25">
      <c r="B226" s="3"/>
      <c r="C226" s="3"/>
      <c r="D226" s="56"/>
      <c r="E226" s="4"/>
      <c r="F226" s="7"/>
      <c r="G226" s="4"/>
      <c r="H226" s="8"/>
      <c r="I226" s="8"/>
      <c r="J226" s="8"/>
      <c r="K226" s="9"/>
      <c r="L226" s="236"/>
      <c r="M226" s="236"/>
      <c r="O226" s="240"/>
      <c r="P226" s="10"/>
      <c r="Q226" s="243"/>
      <c r="R226" s="240"/>
    </row>
    <row r="227" spans="2:18" x14ac:dyDescent="0.25">
      <c r="B227" s="3"/>
      <c r="C227" s="3"/>
      <c r="D227" s="56"/>
      <c r="E227" s="4"/>
      <c r="F227" s="7"/>
      <c r="G227" s="4"/>
      <c r="H227" s="8"/>
      <c r="I227" s="8"/>
      <c r="J227" s="8"/>
      <c r="K227" s="9"/>
      <c r="L227" s="236"/>
      <c r="M227" s="236"/>
      <c r="O227" s="240"/>
      <c r="P227" s="10"/>
      <c r="Q227" s="243"/>
      <c r="R227" s="240"/>
    </row>
    <row r="228" spans="2:18" x14ac:dyDescent="0.25">
      <c r="B228" s="3"/>
      <c r="C228" s="3"/>
      <c r="D228" s="56"/>
      <c r="E228" s="4"/>
      <c r="F228" s="7"/>
      <c r="G228" s="4"/>
      <c r="H228" s="8"/>
      <c r="I228" s="8"/>
      <c r="J228" s="8"/>
      <c r="K228" s="9"/>
      <c r="L228" s="236"/>
      <c r="M228" s="236"/>
      <c r="O228" s="240"/>
      <c r="P228" s="10"/>
      <c r="Q228" s="243"/>
      <c r="R228" s="240"/>
    </row>
    <row r="229" spans="2:18" x14ac:dyDescent="0.25">
      <c r="B229" s="3"/>
      <c r="C229" s="3"/>
      <c r="D229" s="56"/>
      <c r="E229" s="4"/>
      <c r="F229" s="7"/>
      <c r="G229" s="4"/>
      <c r="H229" s="8"/>
      <c r="I229" s="8"/>
      <c r="J229" s="8"/>
      <c r="K229" s="9"/>
      <c r="L229" s="236"/>
      <c r="M229" s="236"/>
      <c r="O229" s="240"/>
      <c r="P229" s="10"/>
      <c r="Q229" s="243"/>
      <c r="R229" s="240"/>
    </row>
    <row r="230" spans="2:18" x14ac:dyDescent="0.25">
      <c r="B230" s="3"/>
      <c r="C230" s="3"/>
      <c r="D230" s="56"/>
      <c r="E230" s="4"/>
      <c r="F230" s="7"/>
      <c r="G230" s="4"/>
      <c r="H230" s="8"/>
      <c r="I230" s="8"/>
      <c r="J230" s="8"/>
      <c r="K230" s="9"/>
      <c r="L230" s="236"/>
      <c r="M230" s="236"/>
      <c r="O230" s="240"/>
      <c r="P230" s="10"/>
      <c r="Q230" s="243"/>
      <c r="R230" s="240"/>
    </row>
    <row r="231" spans="2:18" x14ac:dyDescent="0.25">
      <c r="B231" s="3"/>
      <c r="C231" s="3"/>
      <c r="D231" s="56"/>
      <c r="E231" s="4"/>
      <c r="F231" s="7"/>
      <c r="G231" s="4"/>
      <c r="H231" s="8"/>
      <c r="I231" s="8"/>
      <c r="J231" s="8"/>
      <c r="K231" s="9"/>
      <c r="L231" s="236"/>
      <c r="M231" s="236"/>
      <c r="O231" s="240"/>
      <c r="P231" s="10"/>
      <c r="Q231" s="243"/>
      <c r="R231" s="240"/>
    </row>
    <row r="232" spans="2:18" x14ac:dyDescent="0.25">
      <c r="B232" s="3"/>
      <c r="C232" s="3"/>
      <c r="D232" s="56"/>
      <c r="E232" s="4"/>
      <c r="F232" s="7"/>
      <c r="G232" s="4"/>
      <c r="H232" s="8"/>
      <c r="I232" s="8"/>
      <c r="J232" s="8"/>
      <c r="K232" s="9"/>
      <c r="L232" s="236"/>
      <c r="M232" s="236"/>
      <c r="O232" s="240"/>
      <c r="P232" s="10"/>
      <c r="Q232" s="243"/>
      <c r="R232" s="240"/>
    </row>
    <row r="233" spans="2:18" x14ac:dyDescent="0.25">
      <c r="B233" s="3"/>
      <c r="C233" s="3"/>
      <c r="D233" s="56"/>
      <c r="E233" s="4"/>
      <c r="F233" s="7"/>
      <c r="G233" s="4"/>
      <c r="H233" s="8"/>
      <c r="I233" s="8"/>
      <c r="J233" s="8"/>
      <c r="K233" s="9"/>
      <c r="L233" s="236"/>
      <c r="M233" s="236"/>
      <c r="O233" s="240"/>
      <c r="P233" s="10"/>
      <c r="Q233" s="243"/>
      <c r="R233" s="240"/>
    </row>
    <row r="234" spans="2:18" x14ac:dyDescent="0.25">
      <c r="B234" s="3"/>
      <c r="C234" s="3"/>
      <c r="D234" s="56"/>
      <c r="E234" s="4"/>
      <c r="F234" s="7"/>
      <c r="G234" s="4"/>
      <c r="H234" s="8"/>
      <c r="I234" s="8"/>
      <c r="J234" s="8"/>
      <c r="K234" s="9"/>
      <c r="L234" s="236"/>
      <c r="M234" s="236"/>
      <c r="O234" s="240"/>
      <c r="P234" s="10"/>
      <c r="Q234" s="243"/>
      <c r="R234" s="240"/>
    </row>
    <row r="235" spans="2:18" x14ac:dyDescent="0.25">
      <c r="B235" s="3"/>
      <c r="C235" s="3"/>
      <c r="D235" s="56"/>
      <c r="E235" s="4"/>
      <c r="F235" s="7"/>
      <c r="G235" s="4"/>
      <c r="H235" s="8"/>
      <c r="I235" s="8"/>
      <c r="J235" s="8"/>
      <c r="K235" s="9"/>
      <c r="L235" s="236"/>
      <c r="M235" s="236"/>
      <c r="O235" s="240"/>
      <c r="P235" s="10"/>
      <c r="Q235" s="243"/>
      <c r="R235" s="240"/>
    </row>
    <row r="236" spans="2:18" x14ac:dyDescent="0.25">
      <c r="B236" s="3"/>
      <c r="C236" s="3"/>
      <c r="D236" s="56"/>
      <c r="E236" s="4"/>
      <c r="F236" s="7"/>
      <c r="G236" s="4"/>
      <c r="H236" s="8"/>
      <c r="I236" s="8"/>
      <c r="J236" s="8"/>
      <c r="K236" s="9"/>
      <c r="L236" s="236"/>
      <c r="M236" s="236"/>
      <c r="O236" s="240"/>
      <c r="P236" s="10"/>
      <c r="Q236" s="243"/>
      <c r="R236" s="240"/>
    </row>
    <row r="237" spans="2:18" x14ac:dyDescent="0.25">
      <c r="B237" s="3"/>
      <c r="C237" s="3"/>
      <c r="D237" s="56"/>
      <c r="E237" s="4"/>
      <c r="F237" s="7"/>
      <c r="G237" s="4"/>
      <c r="H237" s="8"/>
      <c r="I237" s="8"/>
      <c r="J237" s="8"/>
      <c r="K237" s="9"/>
      <c r="L237" s="236"/>
      <c r="M237" s="236"/>
      <c r="O237" s="240"/>
      <c r="P237" s="10"/>
      <c r="Q237" s="243"/>
      <c r="R237" s="240"/>
    </row>
    <row r="238" spans="2:18" x14ac:dyDescent="0.25">
      <c r="B238" s="3"/>
      <c r="C238" s="3"/>
      <c r="D238" s="56"/>
      <c r="E238" s="4"/>
      <c r="F238" s="7"/>
      <c r="G238" s="4"/>
      <c r="H238" s="8"/>
      <c r="I238" s="8"/>
      <c r="J238" s="8"/>
      <c r="K238" s="9"/>
      <c r="L238" s="236"/>
      <c r="M238" s="236"/>
      <c r="O238" s="240"/>
      <c r="P238" s="10"/>
      <c r="Q238" s="243"/>
      <c r="R238" s="240"/>
    </row>
    <row r="239" spans="2:18" x14ac:dyDescent="0.25">
      <c r="B239" s="3"/>
      <c r="C239" s="3"/>
      <c r="D239" s="56"/>
      <c r="E239" s="4"/>
      <c r="F239" s="7"/>
      <c r="G239" s="4"/>
      <c r="H239" s="8"/>
      <c r="I239" s="8"/>
      <c r="J239" s="8"/>
      <c r="K239" s="9"/>
      <c r="L239" s="236"/>
      <c r="M239" s="236"/>
      <c r="O239" s="240"/>
      <c r="P239" s="10"/>
      <c r="Q239" s="243"/>
      <c r="R239" s="240"/>
    </row>
    <row r="240" spans="2:18" x14ac:dyDescent="0.25">
      <c r="B240" s="3"/>
      <c r="C240" s="3"/>
      <c r="D240" s="56"/>
      <c r="E240" s="4"/>
      <c r="F240" s="7"/>
      <c r="G240" s="4"/>
      <c r="H240" s="8"/>
      <c r="I240" s="8"/>
      <c r="J240" s="8"/>
      <c r="K240" s="9"/>
      <c r="L240" s="236"/>
      <c r="M240" s="236"/>
      <c r="O240" s="240"/>
      <c r="P240" s="10"/>
      <c r="Q240" s="243"/>
      <c r="R240" s="240"/>
    </row>
    <row r="241" spans="2:18" x14ac:dyDescent="0.25">
      <c r="B241" s="3"/>
      <c r="C241" s="3"/>
      <c r="D241" s="56"/>
      <c r="E241" s="4"/>
      <c r="F241" s="7"/>
      <c r="G241" s="4"/>
      <c r="H241" s="8"/>
      <c r="I241" s="8"/>
      <c r="J241" s="8"/>
      <c r="K241" s="9"/>
      <c r="L241" s="236"/>
      <c r="M241" s="236"/>
      <c r="O241" s="240"/>
      <c r="P241" s="10"/>
      <c r="Q241" s="243"/>
      <c r="R241" s="240"/>
    </row>
    <row r="242" spans="2:18" x14ac:dyDescent="0.25">
      <c r="B242" s="3"/>
      <c r="C242" s="3"/>
      <c r="D242" s="56"/>
      <c r="E242" s="4"/>
      <c r="F242" s="7"/>
      <c r="G242" s="4"/>
      <c r="H242" s="8"/>
      <c r="I242" s="8"/>
      <c r="J242" s="8"/>
      <c r="K242" s="9"/>
      <c r="L242" s="236"/>
      <c r="M242" s="236"/>
      <c r="O242" s="240"/>
      <c r="P242" s="10"/>
      <c r="Q242" s="243"/>
      <c r="R242" s="240"/>
    </row>
    <row r="243" spans="2:18" x14ac:dyDescent="0.25">
      <c r="B243" s="3"/>
      <c r="C243" s="3"/>
      <c r="D243" s="56"/>
      <c r="E243" s="4"/>
      <c r="F243" s="7"/>
      <c r="G243" s="4"/>
      <c r="H243" s="8"/>
      <c r="I243" s="8"/>
      <c r="J243" s="8"/>
      <c r="K243" s="9"/>
      <c r="L243" s="236"/>
      <c r="M243" s="236"/>
      <c r="O243" s="240"/>
      <c r="P243" s="10"/>
      <c r="Q243" s="243"/>
      <c r="R243" s="240"/>
    </row>
    <row r="244" spans="2:18" x14ac:dyDescent="0.25">
      <c r="B244" s="3"/>
      <c r="C244" s="3"/>
      <c r="D244" s="56"/>
      <c r="E244" s="4"/>
      <c r="F244" s="7"/>
      <c r="G244" s="4"/>
      <c r="H244" s="8"/>
      <c r="I244" s="8"/>
      <c r="J244" s="8"/>
      <c r="K244" s="9"/>
      <c r="L244" s="236"/>
      <c r="M244" s="236"/>
      <c r="O244" s="240"/>
      <c r="P244" s="10"/>
      <c r="Q244" s="243"/>
      <c r="R244" s="240"/>
    </row>
    <row r="245" spans="2:18" x14ac:dyDescent="0.25">
      <c r="B245" s="3"/>
      <c r="C245" s="3"/>
      <c r="D245" s="56"/>
      <c r="E245" s="4"/>
      <c r="F245" s="7"/>
      <c r="G245" s="4"/>
      <c r="H245" s="8"/>
      <c r="I245" s="8"/>
      <c r="J245" s="8"/>
      <c r="K245" s="9"/>
      <c r="L245" s="236"/>
      <c r="M245" s="236"/>
      <c r="O245" s="240"/>
      <c r="P245" s="10"/>
      <c r="Q245" s="243"/>
      <c r="R245" s="240"/>
    </row>
    <row r="246" spans="2:18" x14ac:dyDescent="0.25">
      <c r="B246" s="3"/>
      <c r="C246" s="3"/>
      <c r="D246" s="56"/>
      <c r="E246" s="4"/>
      <c r="F246" s="7"/>
      <c r="G246" s="4"/>
      <c r="H246" s="8"/>
      <c r="I246" s="8"/>
      <c r="J246" s="8"/>
      <c r="K246" s="9"/>
      <c r="L246" s="236"/>
      <c r="M246" s="236"/>
      <c r="O246" s="240"/>
      <c r="P246" s="10"/>
      <c r="Q246" s="243"/>
      <c r="R246" s="240"/>
    </row>
    <row r="247" spans="2:18" x14ac:dyDescent="0.25">
      <c r="B247" s="3"/>
      <c r="C247" s="3"/>
      <c r="D247" s="56"/>
      <c r="E247" s="4"/>
      <c r="F247" s="7"/>
      <c r="G247" s="4"/>
      <c r="H247" s="8"/>
      <c r="I247" s="8"/>
      <c r="J247" s="8"/>
      <c r="K247" s="9"/>
      <c r="L247" s="236"/>
      <c r="M247" s="236"/>
      <c r="O247" s="240"/>
      <c r="P247" s="10"/>
      <c r="Q247" s="243"/>
      <c r="R247" s="240"/>
    </row>
    <row r="248" spans="2:18" x14ac:dyDescent="0.25">
      <c r="B248" s="3"/>
      <c r="C248" s="3"/>
      <c r="D248" s="56"/>
      <c r="E248" s="4"/>
      <c r="F248" s="7"/>
      <c r="G248" s="4"/>
      <c r="H248" s="8"/>
      <c r="I248" s="8"/>
      <c r="J248" s="8"/>
      <c r="K248" s="9"/>
      <c r="L248" s="236"/>
      <c r="M248" s="236"/>
      <c r="O248" s="240"/>
      <c r="P248" s="10"/>
      <c r="Q248" s="243"/>
      <c r="R248" s="240"/>
    </row>
    <row r="249" spans="2:18" x14ac:dyDescent="0.25">
      <c r="B249" s="3"/>
      <c r="C249" s="3"/>
      <c r="D249" s="56"/>
      <c r="E249" s="4"/>
      <c r="F249" s="7"/>
      <c r="G249" s="4"/>
      <c r="H249" s="8"/>
      <c r="I249" s="8"/>
      <c r="J249" s="8"/>
      <c r="K249" s="9"/>
      <c r="L249" s="236"/>
      <c r="M249" s="236"/>
      <c r="O249" s="240"/>
      <c r="P249" s="10"/>
      <c r="Q249" s="243"/>
      <c r="R249" s="240"/>
    </row>
    <row r="250" spans="2:18" x14ac:dyDescent="0.25">
      <c r="B250" s="3"/>
      <c r="C250" s="3"/>
      <c r="D250" s="56"/>
      <c r="E250" s="4"/>
      <c r="F250" s="7"/>
      <c r="G250" s="4"/>
      <c r="H250" s="8"/>
      <c r="I250" s="8"/>
      <c r="J250" s="8"/>
      <c r="K250" s="9"/>
      <c r="L250" s="236"/>
      <c r="M250" s="236"/>
      <c r="O250" s="240"/>
      <c r="P250" s="10"/>
      <c r="Q250" s="243"/>
      <c r="R250" s="240"/>
    </row>
    <row r="251" spans="2:18" x14ac:dyDescent="0.25">
      <c r="B251" s="3"/>
      <c r="C251" s="3"/>
      <c r="D251" s="56"/>
      <c r="E251" s="4"/>
      <c r="F251" s="7"/>
      <c r="G251" s="4"/>
      <c r="H251" s="8"/>
      <c r="I251" s="8"/>
      <c r="J251" s="8"/>
      <c r="K251" s="9"/>
      <c r="L251" s="236"/>
      <c r="M251" s="236"/>
      <c r="O251" s="240"/>
      <c r="P251" s="10"/>
      <c r="Q251" s="243"/>
      <c r="R251" s="240"/>
    </row>
    <row r="252" spans="2:18" x14ac:dyDescent="0.25">
      <c r="B252" s="3"/>
      <c r="C252" s="3"/>
      <c r="D252" s="56"/>
      <c r="E252" s="4"/>
      <c r="F252" s="7"/>
      <c r="G252" s="4"/>
      <c r="H252" s="8"/>
      <c r="I252" s="8"/>
      <c r="J252" s="8"/>
      <c r="K252" s="9"/>
      <c r="L252" s="236"/>
      <c r="M252" s="236"/>
      <c r="O252" s="240"/>
      <c r="P252" s="10"/>
      <c r="Q252" s="243"/>
      <c r="R252" s="240"/>
    </row>
    <row r="253" spans="2:18" x14ac:dyDescent="0.25">
      <c r="B253" s="3"/>
      <c r="C253" s="3"/>
      <c r="D253" s="56"/>
      <c r="E253" s="4"/>
      <c r="F253" s="7"/>
      <c r="G253" s="4"/>
      <c r="H253" s="8"/>
      <c r="I253" s="8"/>
      <c r="J253" s="8"/>
      <c r="K253" s="9"/>
      <c r="L253" s="236"/>
      <c r="M253" s="236"/>
      <c r="O253" s="240"/>
      <c r="P253" s="10"/>
      <c r="Q253" s="243"/>
      <c r="R253" s="240"/>
    </row>
    <row r="254" spans="2:18" x14ac:dyDescent="0.25">
      <c r="B254" s="3"/>
      <c r="C254" s="3"/>
      <c r="D254" s="56"/>
      <c r="E254" s="4"/>
      <c r="F254" s="7"/>
      <c r="G254" s="4"/>
      <c r="H254" s="8"/>
      <c r="I254" s="8"/>
      <c r="J254" s="8"/>
      <c r="K254" s="9"/>
      <c r="L254" s="236"/>
      <c r="M254" s="236"/>
      <c r="O254" s="240"/>
      <c r="P254" s="10"/>
      <c r="Q254" s="243"/>
      <c r="R254" s="240"/>
    </row>
    <row r="255" spans="2:18" x14ac:dyDescent="0.25">
      <c r="B255" s="3"/>
      <c r="C255" s="3"/>
      <c r="D255" s="56"/>
      <c r="E255" s="4"/>
      <c r="F255" s="7"/>
      <c r="G255" s="4"/>
      <c r="H255" s="8"/>
      <c r="I255" s="8"/>
      <c r="J255" s="8"/>
      <c r="K255" s="9"/>
      <c r="L255" s="236"/>
      <c r="M255" s="236"/>
      <c r="O255" s="240"/>
      <c r="P255" s="10"/>
      <c r="Q255" s="243"/>
      <c r="R255" s="240"/>
    </row>
    <row r="256" spans="2:18" x14ac:dyDescent="0.25">
      <c r="B256" s="3"/>
      <c r="C256" s="3"/>
      <c r="D256" s="56"/>
      <c r="E256" s="4"/>
      <c r="F256" s="7"/>
      <c r="G256" s="4"/>
      <c r="H256" s="8"/>
      <c r="I256" s="8"/>
      <c r="J256" s="8"/>
      <c r="K256" s="9"/>
      <c r="L256" s="236"/>
      <c r="M256" s="236"/>
      <c r="O256" s="240"/>
      <c r="P256" s="10"/>
      <c r="Q256" s="243"/>
      <c r="R256" s="240"/>
    </row>
    <row r="257" spans="2:18" x14ac:dyDescent="0.25">
      <c r="B257" s="3"/>
      <c r="C257" s="3"/>
      <c r="D257" s="56"/>
      <c r="E257" s="4"/>
      <c r="F257" s="7"/>
      <c r="G257" s="4"/>
      <c r="H257" s="8"/>
      <c r="I257" s="8"/>
      <c r="J257" s="8"/>
      <c r="K257" s="9"/>
      <c r="L257" s="236"/>
      <c r="M257" s="236"/>
      <c r="O257" s="240"/>
      <c r="P257" s="10"/>
      <c r="Q257" s="243"/>
      <c r="R257" s="240"/>
    </row>
    <row r="258" spans="2:18" x14ac:dyDescent="0.25">
      <c r="B258" s="3"/>
      <c r="C258" s="3"/>
      <c r="D258" s="56"/>
      <c r="E258" s="4"/>
      <c r="F258" s="7"/>
      <c r="G258" s="4"/>
      <c r="H258" s="8"/>
      <c r="I258" s="8"/>
      <c r="J258" s="8"/>
      <c r="K258" s="9"/>
      <c r="L258" s="236"/>
      <c r="M258" s="236"/>
      <c r="O258" s="240"/>
      <c r="P258" s="10"/>
      <c r="Q258" s="243"/>
      <c r="R258" s="240"/>
    </row>
    <row r="259" spans="2:18" x14ac:dyDescent="0.25">
      <c r="B259" s="3"/>
      <c r="C259" s="3"/>
      <c r="D259" s="56"/>
      <c r="E259" s="4"/>
      <c r="F259" s="7"/>
      <c r="G259" s="4"/>
      <c r="H259" s="8"/>
      <c r="I259" s="8"/>
      <c r="J259" s="8"/>
      <c r="K259" s="9"/>
      <c r="L259" s="236"/>
      <c r="M259" s="236"/>
      <c r="O259" s="240"/>
      <c r="P259" s="10"/>
      <c r="Q259" s="243"/>
      <c r="R259" s="240"/>
    </row>
    <row r="260" spans="2:18" x14ac:dyDescent="0.25">
      <c r="B260" s="3"/>
      <c r="C260" s="3"/>
      <c r="D260" s="56"/>
      <c r="E260" s="4"/>
      <c r="F260" s="7"/>
      <c r="G260" s="4"/>
      <c r="H260" s="8"/>
      <c r="I260" s="8"/>
      <c r="J260" s="8"/>
      <c r="K260" s="9"/>
      <c r="L260" s="236"/>
      <c r="M260" s="236"/>
      <c r="O260" s="240"/>
      <c r="P260" s="10"/>
      <c r="Q260" s="243"/>
      <c r="R260" s="240"/>
    </row>
    <row r="261" spans="2:18" x14ac:dyDescent="0.25">
      <c r="B261" s="3"/>
      <c r="C261" s="3"/>
      <c r="D261" s="56"/>
      <c r="E261" s="4"/>
      <c r="F261" s="7"/>
      <c r="G261" s="4"/>
      <c r="H261" s="8"/>
      <c r="I261" s="8"/>
      <c r="J261" s="8"/>
      <c r="K261" s="9"/>
      <c r="L261" s="236"/>
      <c r="M261" s="236"/>
      <c r="O261" s="240"/>
      <c r="P261" s="10"/>
      <c r="Q261" s="243"/>
      <c r="R261" s="240"/>
    </row>
    <row r="262" spans="2:18" x14ac:dyDescent="0.25">
      <c r="B262" s="3"/>
      <c r="C262" s="3"/>
      <c r="D262" s="56"/>
      <c r="E262" s="4"/>
      <c r="F262" s="7"/>
      <c r="G262" s="4"/>
      <c r="H262" s="8"/>
      <c r="I262" s="8"/>
      <c r="J262" s="8"/>
      <c r="K262" s="9"/>
      <c r="L262" s="236"/>
      <c r="M262" s="236"/>
      <c r="O262" s="240"/>
      <c r="P262" s="10"/>
      <c r="Q262" s="243"/>
      <c r="R262" s="240"/>
    </row>
    <row r="263" spans="2:18" x14ac:dyDescent="0.25">
      <c r="B263" s="3"/>
      <c r="C263" s="3"/>
      <c r="D263" s="56"/>
      <c r="E263" s="4"/>
      <c r="F263" s="7"/>
      <c r="G263" s="4"/>
      <c r="H263" s="8"/>
      <c r="I263" s="8"/>
      <c r="J263" s="8"/>
      <c r="K263" s="9"/>
      <c r="L263" s="236"/>
      <c r="M263" s="236"/>
      <c r="O263" s="240"/>
      <c r="P263" s="10"/>
      <c r="Q263" s="243"/>
      <c r="R263" s="240"/>
    </row>
    <row r="264" spans="2:18" x14ac:dyDescent="0.25">
      <c r="B264" s="3"/>
      <c r="C264" s="3"/>
      <c r="D264" s="56"/>
      <c r="E264" s="4"/>
      <c r="F264" s="7"/>
      <c r="G264" s="4"/>
      <c r="H264" s="8"/>
      <c r="I264" s="8"/>
      <c r="J264" s="8"/>
      <c r="K264" s="9"/>
      <c r="L264" s="236"/>
      <c r="M264" s="236"/>
      <c r="O264" s="240"/>
      <c r="P264" s="10"/>
      <c r="Q264" s="243"/>
      <c r="R264" s="240"/>
    </row>
    <row r="265" spans="2:18" x14ac:dyDescent="0.25">
      <c r="B265" s="3"/>
      <c r="C265" s="3"/>
      <c r="D265" s="56"/>
      <c r="E265" s="4"/>
      <c r="F265" s="7"/>
      <c r="G265" s="4"/>
      <c r="H265" s="8"/>
      <c r="I265" s="8"/>
      <c r="J265" s="8"/>
      <c r="K265" s="9"/>
      <c r="L265" s="236"/>
      <c r="M265" s="236"/>
      <c r="O265" s="240"/>
      <c r="P265" s="10"/>
      <c r="Q265" s="243"/>
      <c r="R265" s="240"/>
    </row>
    <row r="266" spans="2:18" x14ac:dyDescent="0.25">
      <c r="B266" s="3"/>
      <c r="C266" s="3"/>
      <c r="D266" s="56"/>
      <c r="E266" s="4"/>
      <c r="F266" s="7"/>
      <c r="G266" s="4"/>
      <c r="H266" s="8"/>
      <c r="I266" s="8"/>
      <c r="J266" s="8"/>
      <c r="K266" s="9"/>
      <c r="L266" s="236"/>
      <c r="M266" s="236"/>
      <c r="O266" s="240"/>
      <c r="P266" s="10"/>
      <c r="Q266" s="243"/>
      <c r="R266" s="240"/>
    </row>
    <row r="267" spans="2:18" x14ac:dyDescent="0.25">
      <c r="B267" s="3"/>
      <c r="C267" s="3"/>
      <c r="D267" s="56"/>
      <c r="E267" s="4"/>
      <c r="F267" s="7"/>
      <c r="G267" s="4"/>
      <c r="H267" s="8"/>
      <c r="I267" s="8"/>
      <c r="J267" s="8"/>
      <c r="K267" s="9"/>
      <c r="L267" s="236"/>
      <c r="M267" s="236"/>
      <c r="O267" s="240"/>
      <c r="P267" s="10"/>
      <c r="Q267" s="243"/>
      <c r="R267" s="240"/>
    </row>
    <row r="268" spans="2:18" x14ac:dyDescent="0.25">
      <c r="B268" s="3"/>
      <c r="C268" s="3"/>
      <c r="D268" s="56"/>
      <c r="E268" s="4"/>
      <c r="F268" s="7"/>
      <c r="G268" s="4"/>
      <c r="H268" s="8"/>
      <c r="I268" s="8"/>
      <c r="J268" s="8"/>
      <c r="K268" s="9"/>
      <c r="L268" s="236"/>
      <c r="M268" s="236"/>
      <c r="O268" s="240"/>
      <c r="P268" s="10"/>
      <c r="Q268" s="243"/>
      <c r="R268" s="240"/>
    </row>
    <row r="269" spans="2:18" x14ac:dyDescent="0.25">
      <c r="B269" s="3"/>
      <c r="C269" s="3"/>
      <c r="D269" s="56"/>
      <c r="E269" s="4"/>
      <c r="F269" s="7"/>
      <c r="G269" s="4"/>
      <c r="H269" s="8"/>
      <c r="I269" s="8"/>
      <c r="J269" s="8"/>
      <c r="K269" s="9"/>
      <c r="L269" s="236"/>
      <c r="M269" s="236"/>
      <c r="O269" s="240"/>
      <c r="P269" s="10"/>
      <c r="Q269" s="243"/>
      <c r="R269" s="240"/>
    </row>
    <row r="270" spans="2:18" x14ac:dyDescent="0.25">
      <c r="B270" s="3"/>
      <c r="C270" s="3"/>
      <c r="D270" s="56"/>
      <c r="E270" s="4"/>
      <c r="F270" s="7"/>
      <c r="G270" s="4"/>
      <c r="H270" s="8"/>
      <c r="I270" s="8"/>
      <c r="J270" s="8"/>
      <c r="K270" s="9"/>
      <c r="L270" s="236"/>
      <c r="M270" s="236"/>
      <c r="O270" s="240"/>
      <c r="P270" s="10"/>
      <c r="Q270" s="243"/>
      <c r="R270" s="240"/>
    </row>
    <row r="271" spans="2:18" x14ac:dyDescent="0.25">
      <c r="B271" s="3"/>
      <c r="C271" s="3"/>
      <c r="D271" s="56"/>
      <c r="E271" s="4"/>
      <c r="F271" s="7"/>
      <c r="G271" s="4"/>
      <c r="H271" s="8"/>
      <c r="I271" s="8"/>
      <c r="J271" s="8"/>
      <c r="K271" s="9"/>
      <c r="L271" s="236"/>
      <c r="M271" s="236"/>
      <c r="O271" s="240"/>
      <c r="P271" s="10"/>
      <c r="Q271" s="243"/>
      <c r="R271" s="240"/>
    </row>
    <row r="272" spans="2:18" x14ac:dyDescent="0.25">
      <c r="B272" s="3"/>
      <c r="C272" s="3"/>
      <c r="D272" s="56"/>
      <c r="E272" s="4"/>
      <c r="F272" s="7"/>
      <c r="G272" s="4"/>
      <c r="H272" s="8"/>
      <c r="I272" s="8"/>
      <c r="J272" s="8"/>
      <c r="K272" s="9"/>
      <c r="L272" s="236"/>
      <c r="M272" s="236"/>
      <c r="O272" s="240"/>
      <c r="P272" s="10"/>
      <c r="Q272" s="243"/>
      <c r="R272" s="240"/>
    </row>
    <row r="273" spans="2:18" x14ac:dyDescent="0.25">
      <c r="B273" s="3"/>
      <c r="C273" s="3"/>
      <c r="D273" s="56"/>
      <c r="E273" s="4"/>
      <c r="F273" s="7"/>
      <c r="G273" s="4"/>
      <c r="H273" s="8"/>
      <c r="I273" s="8"/>
      <c r="J273" s="8"/>
      <c r="K273" s="9"/>
      <c r="L273" s="236"/>
      <c r="M273" s="236"/>
      <c r="O273" s="240"/>
      <c r="P273" s="10"/>
      <c r="Q273" s="243"/>
      <c r="R273" s="240"/>
    </row>
    <row r="274" spans="2:18" x14ac:dyDescent="0.25">
      <c r="B274" s="3"/>
      <c r="C274" s="3"/>
      <c r="D274" s="56"/>
      <c r="E274" s="4"/>
      <c r="F274" s="7"/>
      <c r="G274" s="4"/>
      <c r="H274" s="8"/>
      <c r="I274" s="8"/>
      <c r="J274" s="8"/>
      <c r="K274" s="9"/>
      <c r="L274" s="236"/>
      <c r="M274" s="236"/>
      <c r="O274" s="240"/>
      <c r="P274" s="10"/>
      <c r="Q274" s="243"/>
      <c r="R274" s="240"/>
    </row>
    <row r="275" spans="2:18" x14ac:dyDescent="0.25">
      <c r="B275" s="3"/>
      <c r="C275" s="3"/>
      <c r="D275" s="56"/>
      <c r="E275" s="4"/>
      <c r="F275" s="7"/>
      <c r="G275" s="4"/>
      <c r="H275" s="8"/>
      <c r="I275" s="8"/>
      <c r="J275" s="8"/>
      <c r="K275" s="9"/>
      <c r="L275" s="236"/>
      <c r="M275" s="236"/>
      <c r="O275" s="240"/>
      <c r="P275" s="10"/>
      <c r="Q275" s="243"/>
      <c r="R275" s="240"/>
    </row>
    <row r="276" spans="2:18" x14ac:dyDescent="0.25">
      <c r="B276" s="3"/>
      <c r="C276" s="3"/>
      <c r="D276" s="56"/>
      <c r="E276" s="4"/>
      <c r="F276" s="7"/>
      <c r="G276" s="4"/>
      <c r="H276" s="8"/>
      <c r="I276" s="8"/>
      <c r="J276" s="8"/>
      <c r="K276" s="9"/>
      <c r="L276" s="236"/>
      <c r="M276" s="236"/>
      <c r="O276" s="240"/>
      <c r="P276" s="10"/>
      <c r="Q276" s="243"/>
      <c r="R276" s="240"/>
    </row>
    <row r="277" spans="2:18" x14ac:dyDescent="0.25">
      <c r="B277" s="3"/>
      <c r="C277" s="3"/>
      <c r="D277" s="56"/>
      <c r="E277" s="4"/>
      <c r="F277" s="7"/>
      <c r="G277" s="4"/>
      <c r="H277" s="8"/>
      <c r="I277" s="8"/>
      <c r="J277" s="8"/>
      <c r="K277" s="9"/>
      <c r="L277" s="236"/>
      <c r="M277" s="236"/>
      <c r="O277" s="240"/>
      <c r="P277" s="10"/>
      <c r="Q277" s="243"/>
      <c r="R277" s="240"/>
    </row>
    <row r="278" spans="2:18" x14ac:dyDescent="0.25">
      <c r="B278" s="3"/>
      <c r="C278" s="3"/>
      <c r="D278" s="56"/>
      <c r="E278" s="4"/>
      <c r="F278" s="7"/>
      <c r="G278" s="4"/>
      <c r="H278" s="8"/>
      <c r="I278" s="8"/>
      <c r="J278" s="8"/>
      <c r="K278" s="9"/>
      <c r="L278" s="236"/>
      <c r="M278" s="236"/>
      <c r="O278" s="240"/>
      <c r="P278" s="10"/>
      <c r="Q278" s="243"/>
      <c r="R278" s="240"/>
    </row>
    <row r="279" spans="2:18" x14ac:dyDescent="0.25">
      <c r="B279" s="3"/>
      <c r="C279" s="3"/>
      <c r="D279" s="56"/>
      <c r="E279" s="4"/>
      <c r="F279" s="7"/>
      <c r="G279" s="4"/>
      <c r="H279" s="8"/>
      <c r="I279" s="8"/>
      <c r="J279" s="8"/>
      <c r="K279" s="9"/>
      <c r="L279" s="236"/>
      <c r="M279" s="236"/>
      <c r="O279" s="240"/>
      <c r="P279" s="10"/>
      <c r="Q279" s="243"/>
      <c r="R279" s="240"/>
    </row>
    <row r="280" spans="2:18" x14ac:dyDescent="0.25">
      <c r="B280" s="3"/>
      <c r="C280" s="3"/>
      <c r="D280" s="56"/>
      <c r="E280" s="4"/>
      <c r="F280" s="7"/>
      <c r="G280" s="4"/>
      <c r="H280" s="8"/>
      <c r="I280" s="8"/>
      <c r="J280" s="8"/>
      <c r="K280" s="9"/>
      <c r="L280" s="236"/>
      <c r="M280" s="236"/>
      <c r="O280" s="240"/>
      <c r="P280" s="10"/>
      <c r="Q280" s="243"/>
      <c r="R280" s="240"/>
    </row>
    <row r="281" spans="2:18" x14ac:dyDescent="0.25">
      <c r="B281" s="3"/>
      <c r="C281" s="3"/>
      <c r="D281" s="56"/>
      <c r="E281" s="4"/>
      <c r="F281" s="7"/>
      <c r="G281" s="4"/>
      <c r="H281" s="8"/>
      <c r="I281" s="8"/>
      <c r="J281" s="8"/>
      <c r="K281" s="9"/>
      <c r="L281" s="236"/>
      <c r="M281" s="236"/>
      <c r="O281" s="240"/>
      <c r="P281" s="10"/>
      <c r="Q281" s="243"/>
      <c r="R281" s="240"/>
    </row>
    <row r="282" spans="2:18" x14ac:dyDescent="0.25">
      <c r="B282" s="3"/>
      <c r="C282" s="3"/>
      <c r="D282" s="56"/>
      <c r="E282" s="4"/>
      <c r="F282" s="7"/>
      <c r="G282" s="4"/>
      <c r="H282" s="8"/>
      <c r="I282" s="8"/>
      <c r="J282" s="8"/>
      <c r="K282" s="9"/>
      <c r="L282" s="236"/>
      <c r="M282" s="236"/>
      <c r="O282" s="240"/>
      <c r="P282" s="10"/>
      <c r="Q282" s="243"/>
      <c r="R282" s="240"/>
    </row>
    <row r="283" spans="2:18" x14ac:dyDescent="0.25">
      <c r="B283" s="3"/>
      <c r="C283" s="3"/>
      <c r="D283" s="56"/>
      <c r="E283" s="4"/>
      <c r="F283" s="7"/>
      <c r="G283" s="4"/>
      <c r="H283" s="8"/>
      <c r="I283" s="8"/>
      <c r="J283" s="8"/>
      <c r="K283" s="9"/>
      <c r="L283" s="236"/>
      <c r="M283" s="236"/>
      <c r="O283" s="240"/>
      <c r="P283" s="10"/>
      <c r="Q283" s="243"/>
      <c r="R283" s="240"/>
    </row>
    <row r="284" spans="2:18" x14ac:dyDescent="0.25">
      <c r="B284" s="3"/>
      <c r="C284" s="3"/>
      <c r="D284" s="56"/>
      <c r="E284" s="4"/>
      <c r="F284" s="7"/>
      <c r="G284" s="4"/>
      <c r="H284" s="8"/>
      <c r="I284" s="8"/>
      <c r="J284" s="8"/>
      <c r="K284" s="9"/>
      <c r="L284" s="236"/>
      <c r="M284" s="236"/>
      <c r="O284" s="240"/>
      <c r="P284" s="10"/>
      <c r="Q284" s="243"/>
      <c r="R284" s="240"/>
    </row>
    <row r="285" spans="2:18" x14ac:dyDescent="0.25">
      <c r="B285" s="3"/>
      <c r="C285" s="3"/>
      <c r="D285" s="56"/>
      <c r="E285" s="4"/>
      <c r="F285" s="7"/>
      <c r="G285" s="4"/>
      <c r="H285" s="8"/>
      <c r="I285" s="8"/>
      <c r="J285" s="8"/>
      <c r="K285" s="9"/>
      <c r="L285" s="236"/>
      <c r="M285" s="236"/>
      <c r="O285" s="240"/>
      <c r="P285" s="10"/>
      <c r="Q285" s="243"/>
      <c r="R285" s="240"/>
    </row>
    <row r="286" spans="2:18" x14ac:dyDescent="0.25">
      <c r="B286" s="3"/>
      <c r="C286" s="3"/>
      <c r="D286" s="56"/>
      <c r="E286" s="4"/>
      <c r="F286" s="7"/>
      <c r="G286" s="4"/>
      <c r="H286" s="8"/>
      <c r="I286" s="8"/>
      <c r="J286" s="8"/>
      <c r="K286" s="9"/>
      <c r="L286" s="236"/>
      <c r="M286" s="236"/>
      <c r="O286" s="240"/>
      <c r="P286" s="10"/>
      <c r="Q286" s="243"/>
      <c r="R286" s="240"/>
    </row>
    <row r="287" spans="2:18" x14ac:dyDescent="0.25">
      <c r="B287" s="3"/>
      <c r="C287" s="3"/>
      <c r="D287" s="56"/>
      <c r="E287" s="4"/>
      <c r="F287" s="7"/>
      <c r="G287" s="4"/>
      <c r="H287" s="8"/>
      <c r="I287" s="8"/>
      <c r="J287" s="8"/>
      <c r="K287" s="9"/>
      <c r="L287" s="236"/>
      <c r="M287" s="236"/>
      <c r="O287" s="240"/>
      <c r="P287" s="10"/>
      <c r="Q287" s="243"/>
      <c r="R287" s="240"/>
    </row>
    <row r="288" spans="2:18" x14ac:dyDescent="0.25">
      <c r="B288" s="3"/>
      <c r="C288" s="3"/>
      <c r="D288" s="56"/>
      <c r="E288" s="4"/>
      <c r="F288" s="7"/>
      <c r="G288" s="4"/>
      <c r="H288" s="8"/>
      <c r="I288" s="8"/>
      <c r="J288" s="8"/>
      <c r="K288" s="9"/>
      <c r="L288" s="236"/>
      <c r="M288" s="236"/>
      <c r="O288" s="240"/>
      <c r="P288" s="10"/>
      <c r="Q288" s="243"/>
      <c r="R288" s="240"/>
    </row>
    <row r="289" spans="2:18" x14ac:dyDescent="0.25">
      <c r="B289" s="3"/>
      <c r="C289" s="3"/>
      <c r="D289" s="56"/>
      <c r="E289" s="4"/>
      <c r="F289" s="7"/>
      <c r="G289" s="4"/>
      <c r="H289" s="8"/>
      <c r="I289" s="8"/>
      <c r="J289" s="8"/>
      <c r="K289" s="9"/>
      <c r="L289" s="236"/>
      <c r="M289" s="236"/>
      <c r="O289" s="240"/>
      <c r="P289" s="10"/>
      <c r="Q289" s="243"/>
      <c r="R289" s="240"/>
    </row>
    <row r="290" spans="2:18" x14ac:dyDescent="0.25">
      <c r="B290" s="3"/>
      <c r="C290" s="3"/>
      <c r="D290" s="56"/>
      <c r="E290" s="4"/>
      <c r="F290" s="7"/>
      <c r="G290" s="4"/>
      <c r="H290" s="8"/>
      <c r="I290" s="8"/>
      <c r="J290" s="8"/>
      <c r="K290" s="9"/>
      <c r="L290" s="236"/>
      <c r="M290" s="236"/>
      <c r="O290" s="240"/>
      <c r="P290" s="10"/>
      <c r="Q290" s="243"/>
      <c r="R290" s="240"/>
    </row>
    <row r="291" spans="2:18" x14ac:dyDescent="0.25">
      <c r="B291" s="3"/>
      <c r="C291" s="3"/>
      <c r="D291" s="56"/>
      <c r="E291" s="4"/>
      <c r="F291" s="7"/>
      <c r="G291" s="4"/>
      <c r="H291" s="8"/>
      <c r="I291" s="8"/>
      <c r="J291" s="8"/>
      <c r="K291" s="9"/>
      <c r="L291" s="236"/>
      <c r="M291" s="236"/>
      <c r="O291" s="240"/>
      <c r="P291" s="10"/>
      <c r="Q291" s="243"/>
      <c r="R291" s="240"/>
    </row>
    <row r="292" spans="2:18" x14ac:dyDescent="0.25">
      <c r="B292" s="3"/>
      <c r="C292" s="3"/>
      <c r="D292" s="56"/>
      <c r="E292" s="4"/>
      <c r="F292" s="7"/>
      <c r="G292" s="4"/>
      <c r="H292" s="8"/>
      <c r="I292" s="8"/>
      <c r="J292" s="8"/>
      <c r="K292" s="9"/>
      <c r="L292" s="236"/>
      <c r="M292" s="236"/>
      <c r="O292" s="240"/>
      <c r="P292" s="10"/>
      <c r="Q292" s="243"/>
      <c r="R292" s="240"/>
    </row>
    <row r="293" spans="2:18" x14ac:dyDescent="0.25">
      <c r="B293" s="3"/>
      <c r="C293" s="3"/>
      <c r="D293" s="56"/>
      <c r="E293" s="4"/>
      <c r="F293" s="7"/>
      <c r="G293" s="4"/>
      <c r="H293" s="8"/>
      <c r="I293" s="8"/>
      <c r="J293" s="8"/>
      <c r="K293" s="9"/>
      <c r="L293" s="236"/>
      <c r="M293" s="236"/>
      <c r="O293" s="240"/>
      <c r="P293" s="10"/>
      <c r="Q293" s="243"/>
      <c r="R293" s="240"/>
    </row>
    <row r="294" spans="2:18" x14ac:dyDescent="0.25">
      <c r="B294" s="3"/>
      <c r="C294" s="3"/>
      <c r="D294" s="56"/>
      <c r="E294" s="4"/>
      <c r="F294" s="7"/>
      <c r="G294" s="4"/>
      <c r="H294" s="8"/>
      <c r="I294" s="8"/>
      <c r="J294" s="8"/>
      <c r="K294" s="9"/>
      <c r="L294" s="236"/>
      <c r="M294" s="236"/>
      <c r="O294" s="240"/>
      <c r="P294" s="10"/>
      <c r="Q294" s="243"/>
      <c r="R294" s="240"/>
    </row>
    <row r="295" spans="2:18" x14ac:dyDescent="0.25">
      <c r="B295" s="3"/>
      <c r="C295" s="3"/>
      <c r="D295" s="56"/>
      <c r="E295" s="4"/>
      <c r="F295" s="7"/>
      <c r="G295" s="4"/>
      <c r="H295" s="8"/>
      <c r="I295" s="8"/>
      <c r="J295" s="8"/>
      <c r="K295" s="9"/>
      <c r="L295" s="236"/>
      <c r="M295" s="236"/>
      <c r="O295" s="240"/>
      <c r="P295" s="10"/>
      <c r="Q295" s="243"/>
      <c r="R295" s="240"/>
    </row>
    <row r="296" spans="2:18" x14ac:dyDescent="0.25">
      <c r="B296" s="3"/>
      <c r="C296" s="3"/>
      <c r="D296" s="56"/>
      <c r="E296" s="4"/>
      <c r="F296" s="7"/>
      <c r="G296" s="4"/>
      <c r="H296" s="8"/>
      <c r="I296" s="8"/>
      <c r="J296" s="8"/>
      <c r="K296" s="9"/>
      <c r="L296" s="236"/>
      <c r="M296" s="236"/>
      <c r="O296" s="240"/>
      <c r="P296" s="10"/>
      <c r="Q296" s="243"/>
      <c r="R296" s="240"/>
    </row>
    <row r="297" spans="2:18" x14ac:dyDescent="0.25">
      <c r="B297" s="3"/>
      <c r="C297" s="3"/>
      <c r="D297" s="56"/>
      <c r="E297" s="4"/>
      <c r="F297" s="7"/>
      <c r="G297" s="4"/>
      <c r="H297" s="8"/>
      <c r="I297" s="8"/>
      <c r="J297" s="8"/>
      <c r="K297" s="9"/>
      <c r="L297" s="236"/>
      <c r="M297" s="236"/>
      <c r="O297" s="240"/>
      <c r="P297" s="10"/>
      <c r="Q297" s="243"/>
      <c r="R297" s="240"/>
    </row>
    <row r="298" spans="2:18" x14ac:dyDescent="0.25">
      <c r="B298" s="3"/>
      <c r="C298" s="3"/>
      <c r="D298" s="56"/>
      <c r="E298" s="4"/>
      <c r="F298" s="7"/>
      <c r="G298" s="4"/>
      <c r="H298" s="8"/>
      <c r="I298" s="8"/>
      <c r="J298" s="8"/>
      <c r="K298" s="9"/>
      <c r="L298" s="236"/>
      <c r="M298" s="236"/>
      <c r="O298" s="240"/>
      <c r="P298" s="10"/>
      <c r="Q298" s="243"/>
      <c r="R298" s="240"/>
    </row>
    <row r="299" spans="2:18" x14ac:dyDescent="0.25">
      <c r="B299" s="3"/>
      <c r="C299" s="3"/>
      <c r="D299" s="56"/>
      <c r="E299" s="4"/>
      <c r="F299" s="7"/>
      <c r="G299" s="4"/>
      <c r="H299" s="8"/>
      <c r="I299" s="8"/>
      <c r="J299" s="8"/>
      <c r="K299" s="9"/>
      <c r="L299" s="236"/>
      <c r="M299" s="236"/>
      <c r="O299" s="240"/>
      <c r="P299" s="10"/>
      <c r="Q299" s="243"/>
      <c r="R299" s="240"/>
    </row>
    <row r="300" spans="2:18" x14ac:dyDescent="0.25">
      <c r="B300" s="3"/>
      <c r="C300" s="3"/>
      <c r="D300" s="56"/>
      <c r="E300" s="4"/>
      <c r="F300" s="7"/>
      <c r="G300" s="4"/>
      <c r="H300" s="8"/>
      <c r="I300" s="8"/>
      <c r="J300" s="8"/>
      <c r="K300" s="9"/>
      <c r="L300" s="236"/>
      <c r="M300" s="236"/>
      <c r="O300" s="240"/>
      <c r="P300" s="10"/>
      <c r="Q300" s="243"/>
      <c r="R300" s="240"/>
    </row>
    <row r="301" spans="2:18" x14ac:dyDescent="0.25">
      <c r="B301" s="3"/>
      <c r="C301" s="3"/>
      <c r="D301" s="56"/>
      <c r="E301" s="4"/>
      <c r="F301" s="7"/>
      <c r="G301" s="4"/>
      <c r="H301" s="8"/>
      <c r="I301" s="8"/>
      <c r="J301" s="8"/>
      <c r="K301" s="9"/>
      <c r="L301" s="236"/>
      <c r="M301" s="236"/>
      <c r="O301" s="240"/>
      <c r="P301" s="10"/>
      <c r="Q301" s="243"/>
      <c r="R301" s="240"/>
    </row>
    <row r="302" spans="2:18" x14ac:dyDescent="0.25">
      <c r="B302" s="3"/>
      <c r="C302" s="3"/>
      <c r="D302" s="56"/>
      <c r="E302" s="4"/>
      <c r="F302" s="7"/>
      <c r="G302" s="4"/>
      <c r="H302" s="8"/>
      <c r="I302" s="8"/>
      <c r="J302" s="8"/>
      <c r="K302" s="9"/>
      <c r="L302" s="236"/>
      <c r="M302" s="236"/>
      <c r="O302" s="240"/>
      <c r="P302" s="10"/>
      <c r="Q302" s="243"/>
      <c r="R302" s="240"/>
    </row>
    <row r="303" spans="2:18" x14ac:dyDescent="0.25">
      <c r="B303" s="3"/>
      <c r="C303" s="3"/>
      <c r="D303" s="56"/>
      <c r="E303" s="4"/>
      <c r="F303" s="7"/>
      <c r="G303" s="4"/>
      <c r="H303" s="8"/>
      <c r="I303" s="8"/>
      <c r="J303" s="8"/>
      <c r="K303" s="9"/>
      <c r="L303" s="236"/>
      <c r="M303" s="236"/>
      <c r="O303" s="240"/>
      <c r="P303" s="10"/>
      <c r="Q303" s="243"/>
      <c r="R303" s="240"/>
    </row>
    <row r="304" spans="2:18" x14ac:dyDescent="0.25">
      <c r="B304" s="3"/>
      <c r="C304" s="3"/>
      <c r="D304" s="56"/>
      <c r="E304" s="4"/>
      <c r="F304" s="7"/>
      <c r="G304" s="4"/>
      <c r="H304" s="8"/>
      <c r="I304" s="8"/>
      <c r="J304" s="8"/>
      <c r="K304" s="9"/>
      <c r="L304" s="236"/>
      <c r="M304" s="236"/>
      <c r="O304" s="240"/>
      <c r="P304" s="10"/>
      <c r="Q304" s="243"/>
      <c r="R304" s="240"/>
    </row>
    <row r="305" spans="2:18" x14ac:dyDescent="0.25">
      <c r="B305" s="3"/>
      <c r="C305" s="3"/>
      <c r="D305" s="56"/>
      <c r="E305" s="4"/>
      <c r="F305" s="7"/>
      <c r="G305" s="4"/>
      <c r="H305" s="8"/>
      <c r="I305" s="8"/>
      <c r="J305" s="8"/>
      <c r="K305" s="9"/>
      <c r="L305" s="236"/>
      <c r="M305" s="236"/>
      <c r="O305" s="240"/>
      <c r="P305" s="10"/>
      <c r="Q305" s="243"/>
      <c r="R305" s="240"/>
    </row>
    <row r="306" spans="2:18" x14ac:dyDescent="0.25">
      <c r="B306" s="3"/>
      <c r="C306" s="3"/>
      <c r="D306" s="56"/>
      <c r="E306" s="4"/>
      <c r="F306" s="7"/>
      <c r="G306" s="4"/>
      <c r="H306" s="8"/>
      <c r="I306" s="8"/>
      <c r="J306" s="8"/>
      <c r="K306" s="9"/>
      <c r="L306" s="236"/>
      <c r="M306" s="236"/>
      <c r="O306" s="240"/>
      <c r="P306" s="10"/>
      <c r="Q306" s="243"/>
      <c r="R306" s="240"/>
    </row>
    <row r="307" spans="2:18" x14ac:dyDescent="0.25">
      <c r="B307" s="3"/>
      <c r="C307" s="3"/>
      <c r="D307" s="56"/>
      <c r="E307" s="4"/>
      <c r="F307" s="7"/>
      <c r="G307" s="4"/>
      <c r="H307" s="8"/>
      <c r="I307" s="8"/>
      <c r="J307" s="8"/>
      <c r="K307" s="9"/>
      <c r="L307" s="236"/>
      <c r="M307" s="236"/>
      <c r="O307" s="240"/>
      <c r="P307" s="10"/>
      <c r="Q307" s="243"/>
      <c r="R307" s="240"/>
    </row>
    <row r="308" spans="2:18" x14ac:dyDescent="0.25">
      <c r="B308" s="3"/>
      <c r="C308" s="3"/>
      <c r="D308" s="56"/>
      <c r="E308" s="4"/>
      <c r="F308" s="7"/>
      <c r="G308" s="4"/>
      <c r="H308" s="8"/>
      <c r="I308" s="8"/>
      <c r="J308" s="8"/>
      <c r="K308" s="9"/>
      <c r="L308" s="236"/>
      <c r="M308" s="236"/>
      <c r="O308" s="240"/>
      <c r="P308" s="10"/>
      <c r="Q308" s="243"/>
      <c r="R308" s="240"/>
    </row>
    <row r="309" spans="2:18" x14ac:dyDescent="0.25">
      <c r="B309" s="3"/>
      <c r="C309" s="3"/>
      <c r="D309" s="56"/>
      <c r="E309" s="4"/>
      <c r="F309" s="7"/>
      <c r="G309" s="4"/>
      <c r="H309" s="8"/>
      <c r="I309" s="8"/>
      <c r="J309" s="8"/>
      <c r="K309" s="9"/>
      <c r="L309" s="236"/>
      <c r="M309" s="236"/>
      <c r="O309" s="240"/>
      <c r="P309" s="10"/>
      <c r="Q309" s="243"/>
      <c r="R309" s="240"/>
    </row>
    <row r="310" spans="2:18" x14ac:dyDescent="0.25">
      <c r="B310" s="3"/>
      <c r="C310" s="3"/>
      <c r="D310" s="56"/>
      <c r="E310" s="4"/>
      <c r="F310" s="7"/>
      <c r="G310" s="4"/>
      <c r="H310" s="8"/>
      <c r="I310" s="8"/>
      <c r="J310" s="8"/>
      <c r="K310" s="9"/>
      <c r="L310" s="236"/>
      <c r="M310" s="236"/>
      <c r="O310" s="240"/>
      <c r="P310" s="10"/>
      <c r="Q310" s="243"/>
      <c r="R310" s="240"/>
    </row>
    <row r="311" spans="2:18" x14ac:dyDescent="0.25">
      <c r="B311" s="3"/>
      <c r="C311" s="3"/>
      <c r="D311" s="56"/>
      <c r="E311" s="4"/>
      <c r="F311" s="7"/>
      <c r="G311" s="4"/>
      <c r="H311" s="8"/>
      <c r="I311" s="8"/>
      <c r="J311" s="8"/>
      <c r="K311" s="9"/>
      <c r="L311" s="236"/>
      <c r="M311" s="236"/>
      <c r="O311" s="240"/>
      <c r="P311" s="10"/>
      <c r="Q311" s="243"/>
      <c r="R311" s="240"/>
    </row>
    <row r="312" spans="2:18" x14ac:dyDescent="0.25">
      <c r="B312" s="3"/>
      <c r="C312" s="3"/>
      <c r="D312" s="56"/>
      <c r="E312" s="4"/>
      <c r="F312" s="7"/>
      <c r="G312" s="4"/>
      <c r="H312" s="8"/>
      <c r="I312" s="8"/>
      <c r="J312" s="8"/>
      <c r="K312" s="9"/>
      <c r="L312" s="236"/>
      <c r="M312" s="236"/>
      <c r="O312" s="240"/>
      <c r="P312" s="10"/>
      <c r="Q312" s="243"/>
      <c r="R312" s="240"/>
    </row>
    <row r="313" spans="2:18" x14ac:dyDescent="0.25">
      <c r="B313" s="3"/>
      <c r="C313" s="3"/>
      <c r="D313" s="56"/>
      <c r="E313" s="4"/>
      <c r="F313" s="7"/>
      <c r="G313" s="4"/>
      <c r="H313" s="8"/>
      <c r="I313" s="8"/>
      <c r="J313" s="8"/>
      <c r="K313" s="9"/>
      <c r="L313" s="236"/>
      <c r="M313" s="236"/>
      <c r="O313" s="240"/>
      <c r="P313" s="10"/>
      <c r="Q313" s="243"/>
      <c r="R313" s="240"/>
    </row>
    <row r="314" spans="2:18" x14ac:dyDescent="0.25">
      <c r="B314" s="3"/>
      <c r="C314" s="3"/>
      <c r="D314" s="56"/>
      <c r="E314" s="4"/>
      <c r="F314" s="7"/>
      <c r="G314" s="4"/>
      <c r="H314" s="8"/>
      <c r="I314" s="8"/>
      <c r="J314" s="8"/>
      <c r="K314" s="9"/>
      <c r="L314" s="236"/>
      <c r="M314" s="236"/>
      <c r="O314" s="240"/>
      <c r="P314" s="10"/>
      <c r="Q314" s="243"/>
      <c r="R314" s="240"/>
    </row>
    <row r="315" spans="2:18" x14ac:dyDescent="0.25">
      <c r="B315" s="3"/>
      <c r="C315" s="3"/>
      <c r="D315" s="56"/>
      <c r="E315" s="4"/>
      <c r="F315" s="7"/>
      <c r="G315" s="4"/>
      <c r="H315" s="8"/>
      <c r="I315" s="8"/>
      <c r="J315" s="8"/>
      <c r="K315" s="9"/>
      <c r="L315" s="236"/>
      <c r="M315" s="236"/>
      <c r="O315" s="240"/>
      <c r="P315" s="10"/>
      <c r="Q315" s="243"/>
      <c r="R315" s="240"/>
    </row>
    <row r="316" spans="2:18" x14ac:dyDescent="0.25">
      <c r="B316" s="3"/>
      <c r="C316" s="3"/>
      <c r="D316" s="56"/>
      <c r="E316" s="4"/>
      <c r="F316" s="7"/>
      <c r="G316" s="4"/>
      <c r="H316" s="8"/>
      <c r="I316" s="8"/>
      <c r="J316" s="8"/>
      <c r="K316" s="9"/>
      <c r="L316" s="236"/>
      <c r="M316" s="236"/>
      <c r="O316" s="240"/>
      <c r="P316" s="10"/>
      <c r="Q316" s="243"/>
      <c r="R316" s="240"/>
    </row>
    <row r="317" spans="2:18" x14ac:dyDescent="0.25">
      <c r="B317" s="3"/>
      <c r="C317" s="3"/>
      <c r="D317" s="56"/>
      <c r="E317" s="4"/>
      <c r="F317" s="7"/>
      <c r="G317" s="4"/>
      <c r="H317" s="8"/>
      <c r="I317" s="8"/>
      <c r="J317" s="8"/>
      <c r="K317" s="9"/>
      <c r="L317" s="236"/>
      <c r="M317" s="236"/>
      <c r="O317" s="240"/>
      <c r="P317" s="10"/>
      <c r="Q317" s="243"/>
      <c r="R317" s="240"/>
    </row>
    <row r="318" spans="2:18" x14ac:dyDescent="0.25">
      <c r="B318" s="3"/>
      <c r="C318" s="3"/>
      <c r="D318" s="56"/>
      <c r="E318" s="4"/>
      <c r="F318" s="7"/>
      <c r="G318" s="4"/>
      <c r="H318" s="8"/>
      <c r="I318" s="8"/>
      <c r="J318" s="8"/>
      <c r="K318" s="9"/>
      <c r="L318" s="236"/>
      <c r="M318" s="236"/>
      <c r="O318" s="240"/>
      <c r="P318" s="10"/>
      <c r="Q318" s="243"/>
      <c r="R318" s="240"/>
    </row>
    <row r="319" spans="2:18" x14ac:dyDescent="0.25">
      <c r="B319" s="3"/>
      <c r="C319" s="3"/>
      <c r="D319" s="56"/>
      <c r="E319" s="4"/>
      <c r="F319" s="7"/>
      <c r="G319" s="4"/>
      <c r="H319" s="8"/>
      <c r="I319" s="8"/>
      <c r="J319" s="8"/>
      <c r="K319" s="9"/>
      <c r="L319" s="236"/>
      <c r="M319" s="236"/>
      <c r="O319" s="240"/>
      <c r="P319" s="10"/>
      <c r="Q319" s="243"/>
      <c r="R319" s="240"/>
    </row>
    <row r="320" spans="2:18" x14ac:dyDescent="0.25">
      <c r="B320" s="3"/>
      <c r="C320" s="3"/>
      <c r="D320" s="56"/>
      <c r="E320" s="4"/>
      <c r="F320" s="7"/>
      <c r="G320" s="4"/>
      <c r="H320" s="8"/>
      <c r="I320" s="8"/>
      <c r="J320" s="8"/>
      <c r="K320" s="9"/>
      <c r="L320" s="236"/>
      <c r="M320" s="236"/>
      <c r="O320" s="240"/>
      <c r="P320" s="10"/>
      <c r="Q320" s="243"/>
      <c r="R320" s="240"/>
    </row>
    <row r="321" spans="2:18" x14ac:dyDescent="0.25">
      <c r="B321" s="3"/>
      <c r="C321" s="3"/>
      <c r="D321" s="56"/>
      <c r="E321" s="4"/>
      <c r="F321" s="7"/>
      <c r="G321" s="4"/>
      <c r="H321" s="8"/>
      <c r="I321" s="8"/>
      <c r="J321" s="8"/>
      <c r="K321" s="9"/>
      <c r="L321" s="236"/>
      <c r="M321" s="236"/>
      <c r="O321" s="240"/>
      <c r="P321" s="10"/>
      <c r="Q321" s="243"/>
      <c r="R321" s="240"/>
    </row>
    <row r="322" spans="2:18" x14ac:dyDescent="0.25">
      <c r="B322" s="3"/>
      <c r="C322" s="3"/>
      <c r="D322" s="56"/>
      <c r="E322" s="4"/>
      <c r="F322" s="7"/>
      <c r="G322" s="4"/>
      <c r="H322" s="8"/>
      <c r="I322" s="8"/>
      <c r="J322" s="8"/>
      <c r="K322" s="9"/>
      <c r="L322" s="236"/>
      <c r="M322" s="236"/>
      <c r="O322" s="240"/>
      <c r="P322" s="10"/>
      <c r="Q322" s="243"/>
      <c r="R322" s="240"/>
    </row>
    <row r="323" spans="2:18" x14ac:dyDescent="0.25">
      <c r="B323" s="3"/>
      <c r="C323" s="3"/>
      <c r="D323" s="56"/>
      <c r="E323" s="4"/>
      <c r="F323" s="7"/>
      <c r="G323" s="4"/>
      <c r="H323" s="8"/>
      <c r="I323" s="8"/>
      <c r="J323" s="8"/>
      <c r="K323" s="9"/>
      <c r="L323" s="236"/>
      <c r="M323" s="236"/>
      <c r="O323" s="240"/>
      <c r="P323" s="10"/>
      <c r="Q323" s="243"/>
      <c r="R323" s="240"/>
    </row>
    <row r="324" spans="2:18" x14ac:dyDescent="0.25">
      <c r="B324" s="3"/>
      <c r="C324" s="3"/>
      <c r="D324" s="56"/>
      <c r="E324" s="4"/>
      <c r="F324" s="7"/>
      <c r="G324" s="4"/>
      <c r="H324" s="8"/>
      <c r="I324" s="8"/>
      <c r="J324" s="8"/>
      <c r="K324" s="9"/>
      <c r="L324" s="236"/>
      <c r="M324" s="236"/>
      <c r="O324" s="240"/>
      <c r="P324" s="10"/>
      <c r="Q324" s="243"/>
      <c r="R324" s="240"/>
    </row>
    <row r="325" spans="2:18" x14ac:dyDescent="0.25">
      <c r="B325" s="3"/>
      <c r="C325" s="3"/>
      <c r="D325" s="56"/>
      <c r="E325" s="4"/>
      <c r="F325" s="7"/>
      <c r="G325" s="4"/>
      <c r="H325" s="8"/>
      <c r="I325" s="8"/>
      <c r="J325" s="8"/>
      <c r="K325" s="9"/>
      <c r="L325" s="236"/>
      <c r="M325" s="236"/>
      <c r="O325" s="240"/>
      <c r="P325" s="10"/>
      <c r="Q325" s="243"/>
      <c r="R325" s="240"/>
    </row>
    <row r="326" spans="2:18" x14ac:dyDescent="0.25">
      <c r="B326" s="3"/>
      <c r="C326" s="3"/>
      <c r="D326" s="56"/>
      <c r="E326" s="4"/>
      <c r="F326" s="7"/>
      <c r="G326" s="4"/>
      <c r="H326" s="8"/>
      <c r="I326" s="8"/>
      <c r="J326" s="8"/>
      <c r="K326" s="9"/>
      <c r="L326" s="236"/>
      <c r="M326" s="236"/>
      <c r="O326" s="240"/>
      <c r="P326" s="10"/>
      <c r="Q326" s="243"/>
      <c r="R326" s="240"/>
    </row>
    <row r="327" spans="2:18" x14ac:dyDescent="0.25">
      <c r="B327" s="3"/>
      <c r="C327" s="3"/>
      <c r="D327" s="56"/>
      <c r="E327" s="4"/>
      <c r="F327" s="7"/>
      <c r="G327" s="4"/>
      <c r="H327" s="8"/>
      <c r="I327" s="8"/>
      <c r="J327" s="8"/>
      <c r="K327" s="9"/>
      <c r="L327" s="236"/>
      <c r="M327" s="236"/>
      <c r="O327" s="240"/>
      <c r="P327" s="10"/>
      <c r="Q327" s="243"/>
      <c r="R327" s="240"/>
    </row>
    <row r="328" spans="2:18" x14ac:dyDescent="0.25">
      <c r="B328" s="3"/>
      <c r="C328" s="3"/>
      <c r="D328" s="56"/>
      <c r="E328" s="4"/>
      <c r="F328" s="7"/>
      <c r="G328" s="4"/>
      <c r="H328" s="8"/>
      <c r="I328" s="8"/>
      <c r="J328" s="8"/>
      <c r="K328" s="9"/>
      <c r="L328" s="236"/>
      <c r="M328" s="236"/>
      <c r="O328" s="240"/>
      <c r="P328" s="10"/>
      <c r="Q328" s="243"/>
      <c r="R328" s="240"/>
    </row>
    <row r="329" spans="2:18" x14ac:dyDescent="0.25">
      <c r="B329" s="3"/>
      <c r="C329" s="3"/>
      <c r="D329" s="56"/>
      <c r="E329" s="4"/>
      <c r="F329" s="7"/>
      <c r="G329" s="4"/>
      <c r="H329" s="8"/>
      <c r="I329" s="8"/>
      <c r="J329" s="8"/>
      <c r="K329" s="9"/>
      <c r="L329" s="236"/>
      <c r="M329" s="236"/>
      <c r="O329" s="240"/>
      <c r="P329" s="10"/>
      <c r="Q329" s="243"/>
      <c r="R329" s="240"/>
    </row>
    <row r="330" spans="2:18" x14ac:dyDescent="0.25">
      <c r="B330" s="3"/>
      <c r="C330" s="3"/>
      <c r="D330" s="56"/>
      <c r="E330" s="4"/>
      <c r="F330" s="7"/>
      <c r="G330" s="4"/>
      <c r="H330" s="8"/>
      <c r="I330" s="8"/>
      <c r="J330" s="8"/>
      <c r="K330" s="9"/>
      <c r="L330" s="236"/>
      <c r="M330" s="236"/>
      <c r="O330" s="240"/>
      <c r="P330" s="10"/>
      <c r="Q330" s="243"/>
      <c r="R330" s="240"/>
    </row>
    <row r="331" spans="2:18" x14ac:dyDescent="0.25">
      <c r="B331" s="3"/>
      <c r="C331" s="3"/>
      <c r="D331" s="56"/>
      <c r="E331" s="4"/>
      <c r="F331" s="7"/>
      <c r="G331" s="4"/>
      <c r="H331" s="8"/>
      <c r="I331" s="8"/>
      <c r="J331" s="8"/>
      <c r="K331" s="9"/>
      <c r="L331" s="236"/>
      <c r="M331" s="236"/>
      <c r="O331" s="240"/>
      <c r="P331" s="10"/>
      <c r="Q331" s="243"/>
      <c r="R331" s="240"/>
    </row>
    <row r="332" spans="2:18" x14ac:dyDescent="0.25">
      <c r="B332" s="3"/>
      <c r="C332" s="3"/>
      <c r="D332" s="56"/>
      <c r="E332" s="4"/>
      <c r="F332" s="7"/>
      <c r="G332" s="4"/>
      <c r="H332" s="8"/>
      <c r="I332" s="8"/>
      <c r="J332" s="8"/>
      <c r="K332" s="9"/>
      <c r="L332" s="236"/>
      <c r="M332" s="236"/>
      <c r="O332" s="240"/>
      <c r="P332" s="10"/>
      <c r="Q332" s="243"/>
      <c r="R332" s="240"/>
    </row>
    <row r="333" spans="2:18" x14ac:dyDescent="0.25">
      <c r="B333" s="3"/>
      <c r="C333" s="3"/>
      <c r="D333" s="56"/>
      <c r="E333" s="4"/>
      <c r="F333" s="7"/>
      <c r="G333" s="4"/>
      <c r="H333" s="8"/>
      <c r="I333" s="8"/>
      <c r="J333" s="8"/>
      <c r="K333" s="9"/>
      <c r="L333" s="236"/>
      <c r="M333" s="236"/>
      <c r="O333" s="240"/>
      <c r="P333" s="10"/>
      <c r="Q333" s="243"/>
      <c r="R333" s="240"/>
    </row>
    <row r="334" spans="2:18" x14ac:dyDescent="0.25">
      <c r="B334" s="3"/>
      <c r="C334" s="3"/>
      <c r="D334" s="56"/>
      <c r="E334" s="4"/>
      <c r="F334" s="7"/>
      <c r="G334" s="4"/>
      <c r="H334" s="8"/>
      <c r="I334" s="8"/>
      <c r="J334" s="8"/>
      <c r="K334" s="9"/>
      <c r="L334" s="236"/>
      <c r="M334" s="236"/>
      <c r="O334" s="240"/>
      <c r="P334" s="10"/>
      <c r="Q334" s="243"/>
      <c r="R334" s="240"/>
    </row>
    <row r="335" spans="2:18" x14ac:dyDescent="0.25">
      <c r="B335" s="3"/>
      <c r="C335" s="3"/>
      <c r="D335" s="56"/>
      <c r="E335" s="4"/>
      <c r="F335" s="7"/>
      <c r="G335" s="4"/>
      <c r="H335" s="8"/>
      <c r="I335" s="8"/>
      <c r="J335" s="8"/>
      <c r="K335" s="9"/>
      <c r="L335" s="236"/>
      <c r="M335" s="236"/>
      <c r="O335" s="240"/>
      <c r="P335" s="10"/>
      <c r="Q335" s="243"/>
      <c r="R335" s="240"/>
    </row>
    <row r="336" spans="2:18" x14ac:dyDescent="0.25">
      <c r="B336" s="3"/>
      <c r="C336" s="3"/>
      <c r="D336" s="56"/>
      <c r="E336" s="4"/>
      <c r="F336" s="7"/>
      <c r="G336" s="4"/>
      <c r="H336" s="8"/>
      <c r="I336" s="8"/>
      <c r="J336" s="8"/>
      <c r="K336" s="9"/>
      <c r="L336" s="236"/>
      <c r="M336" s="236"/>
      <c r="O336" s="240"/>
      <c r="P336" s="10"/>
      <c r="Q336" s="243"/>
      <c r="R336" s="240"/>
    </row>
    <row r="337" spans="2:18" x14ac:dyDescent="0.25">
      <c r="B337" s="3"/>
      <c r="C337" s="3"/>
      <c r="D337" s="56"/>
      <c r="E337" s="4"/>
      <c r="F337" s="7"/>
      <c r="G337" s="4"/>
      <c r="H337" s="8"/>
      <c r="I337" s="8"/>
      <c r="J337" s="8"/>
      <c r="K337" s="9"/>
      <c r="L337" s="236"/>
      <c r="M337" s="236"/>
      <c r="O337" s="240"/>
      <c r="P337" s="10"/>
      <c r="Q337" s="243"/>
      <c r="R337" s="240"/>
    </row>
    <row r="338" spans="2:18" x14ac:dyDescent="0.25">
      <c r="B338" s="3"/>
      <c r="C338" s="3"/>
      <c r="D338" s="56"/>
      <c r="E338" s="4"/>
      <c r="F338" s="7"/>
      <c r="G338" s="4"/>
      <c r="H338" s="8"/>
      <c r="I338" s="8"/>
      <c r="J338" s="8"/>
      <c r="K338" s="9"/>
      <c r="L338" s="236"/>
      <c r="M338" s="236"/>
      <c r="O338" s="240"/>
      <c r="P338" s="10"/>
      <c r="Q338" s="243"/>
      <c r="R338" s="240"/>
    </row>
    <row r="339" spans="2:18" x14ac:dyDescent="0.25">
      <c r="B339" s="3"/>
      <c r="C339" s="3"/>
      <c r="D339" s="56"/>
      <c r="E339" s="4"/>
      <c r="F339" s="7"/>
      <c r="G339" s="4"/>
      <c r="H339" s="8"/>
      <c r="I339" s="8"/>
      <c r="J339" s="8"/>
      <c r="K339" s="9"/>
      <c r="L339" s="236"/>
      <c r="M339" s="236"/>
      <c r="O339" s="240"/>
      <c r="P339" s="10"/>
      <c r="Q339" s="243"/>
      <c r="R339" s="240"/>
    </row>
    <row r="340" spans="2:18" x14ac:dyDescent="0.25">
      <c r="B340" s="3"/>
      <c r="C340" s="3"/>
      <c r="D340" s="56"/>
      <c r="E340" s="4"/>
      <c r="F340" s="7"/>
      <c r="G340" s="4"/>
      <c r="H340" s="8"/>
      <c r="I340" s="8"/>
      <c r="J340" s="8"/>
      <c r="K340" s="9"/>
      <c r="L340" s="236"/>
      <c r="M340" s="236"/>
      <c r="O340" s="240"/>
      <c r="P340" s="10"/>
      <c r="Q340" s="243"/>
      <c r="R340" s="240"/>
    </row>
    <row r="341" spans="2:18" x14ac:dyDescent="0.25">
      <c r="B341" s="3"/>
      <c r="C341" s="3"/>
      <c r="D341" s="56"/>
      <c r="E341" s="4"/>
      <c r="F341" s="7"/>
      <c r="G341" s="4"/>
      <c r="H341" s="8"/>
      <c r="I341" s="8"/>
      <c r="J341" s="8"/>
      <c r="K341" s="9"/>
      <c r="L341" s="236"/>
      <c r="M341" s="236"/>
      <c r="O341" s="240"/>
      <c r="P341" s="10"/>
      <c r="Q341" s="243"/>
      <c r="R341" s="240"/>
    </row>
    <row r="342" spans="2:18" x14ac:dyDescent="0.25">
      <c r="B342" s="3"/>
      <c r="C342" s="3"/>
      <c r="D342" s="56"/>
      <c r="E342" s="4"/>
      <c r="F342" s="7"/>
      <c r="G342" s="4"/>
      <c r="H342" s="8"/>
      <c r="I342" s="8"/>
      <c r="J342" s="8"/>
      <c r="K342" s="9"/>
      <c r="L342" s="236"/>
      <c r="M342" s="236"/>
      <c r="O342" s="240"/>
      <c r="P342" s="10"/>
      <c r="Q342" s="243"/>
      <c r="R342" s="240"/>
    </row>
    <row r="343" spans="2:18" x14ac:dyDescent="0.25">
      <c r="B343" s="3"/>
      <c r="C343" s="3"/>
      <c r="D343" s="56"/>
      <c r="E343" s="4"/>
      <c r="F343" s="7"/>
      <c r="G343" s="4"/>
      <c r="H343" s="8"/>
      <c r="I343" s="8"/>
      <c r="J343" s="8"/>
      <c r="K343" s="9"/>
      <c r="L343" s="236"/>
      <c r="M343" s="236"/>
      <c r="O343" s="240"/>
      <c r="P343" s="10"/>
      <c r="Q343" s="243"/>
      <c r="R343" s="240"/>
    </row>
    <row r="344" spans="2:18" x14ac:dyDescent="0.25">
      <c r="B344" s="3"/>
      <c r="C344" s="3"/>
      <c r="D344" s="56"/>
      <c r="E344" s="4"/>
      <c r="F344" s="7"/>
      <c r="G344" s="4"/>
      <c r="H344" s="8"/>
      <c r="I344" s="8"/>
      <c r="J344" s="8"/>
      <c r="K344" s="9"/>
      <c r="L344" s="236"/>
      <c r="M344" s="236"/>
      <c r="O344" s="240"/>
      <c r="P344" s="10"/>
      <c r="Q344" s="243"/>
      <c r="R344" s="240"/>
    </row>
    <row r="345" spans="2:18" x14ac:dyDescent="0.25">
      <c r="B345" s="3"/>
      <c r="C345" s="3"/>
      <c r="D345" s="56"/>
      <c r="E345" s="4"/>
      <c r="F345" s="7"/>
      <c r="G345" s="4"/>
      <c r="H345" s="8"/>
      <c r="I345" s="8"/>
      <c r="J345" s="8"/>
      <c r="K345" s="9"/>
      <c r="L345" s="236"/>
      <c r="M345" s="236"/>
      <c r="O345" s="240"/>
      <c r="P345" s="10"/>
      <c r="Q345" s="243"/>
      <c r="R345" s="240"/>
    </row>
    <row r="346" spans="2:18" x14ac:dyDescent="0.25">
      <c r="B346" s="3"/>
      <c r="C346" s="3"/>
      <c r="D346" s="56"/>
      <c r="E346" s="4"/>
      <c r="F346" s="7"/>
      <c r="G346" s="4"/>
      <c r="H346" s="8"/>
      <c r="I346" s="8"/>
      <c r="J346" s="8"/>
      <c r="K346" s="9"/>
      <c r="L346" s="236"/>
      <c r="M346" s="236"/>
      <c r="O346" s="240"/>
      <c r="P346" s="10"/>
      <c r="Q346" s="243"/>
      <c r="R346" s="240"/>
    </row>
    <row r="347" spans="2:18" x14ac:dyDescent="0.25">
      <c r="B347" s="3"/>
      <c r="C347" s="3"/>
      <c r="D347" s="56"/>
      <c r="E347" s="4"/>
      <c r="F347" s="7"/>
      <c r="G347" s="4"/>
      <c r="H347" s="8"/>
      <c r="I347" s="8"/>
      <c r="J347" s="8"/>
      <c r="K347" s="9"/>
      <c r="L347" s="236"/>
      <c r="M347" s="236"/>
      <c r="O347" s="240"/>
      <c r="P347" s="10"/>
      <c r="Q347" s="243"/>
      <c r="R347" s="240"/>
    </row>
    <row r="348" spans="2:18" x14ac:dyDescent="0.25">
      <c r="B348" s="3"/>
      <c r="C348" s="3"/>
      <c r="D348" s="56"/>
      <c r="E348" s="4"/>
      <c r="F348" s="7"/>
      <c r="G348" s="4"/>
      <c r="H348" s="8"/>
      <c r="I348" s="8"/>
      <c r="J348" s="8"/>
      <c r="K348" s="9"/>
      <c r="L348" s="236"/>
      <c r="M348" s="236"/>
      <c r="O348" s="240"/>
      <c r="P348" s="10"/>
      <c r="Q348" s="243"/>
      <c r="R348" s="240"/>
    </row>
    <row r="349" spans="2:18" x14ac:dyDescent="0.25">
      <c r="B349" s="3"/>
      <c r="C349" s="3"/>
      <c r="D349" s="56"/>
      <c r="E349" s="4"/>
      <c r="F349" s="7"/>
      <c r="G349" s="4"/>
      <c r="H349" s="8"/>
      <c r="I349" s="8"/>
      <c r="J349" s="8"/>
      <c r="K349" s="9"/>
      <c r="L349" s="236"/>
      <c r="M349" s="236"/>
      <c r="O349" s="240"/>
      <c r="P349" s="10"/>
      <c r="Q349" s="243"/>
      <c r="R349" s="240"/>
    </row>
    <row r="350" spans="2:18" x14ac:dyDescent="0.25">
      <c r="B350" s="3"/>
      <c r="C350" s="3"/>
      <c r="D350" s="56"/>
      <c r="E350" s="4"/>
      <c r="F350" s="7"/>
      <c r="G350" s="4"/>
      <c r="H350" s="8"/>
      <c r="I350" s="8"/>
      <c r="J350" s="8"/>
      <c r="K350" s="9"/>
      <c r="L350" s="236"/>
      <c r="M350" s="236"/>
      <c r="O350" s="240"/>
      <c r="P350" s="10"/>
      <c r="Q350" s="243"/>
      <c r="R350" s="240"/>
    </row>
    <row r="351" spans="2:18" x14ac:dyDescent="0.25">
      <c r="B351" s="3"/>
      <c r="C351" s="3"/>
      <c r="D351" s="56"/>
      <c r="E351" s="4"/>
      <c r="F351" s="7"/>
      <c r="G351" s="4"/>
      <c r="H351" s="8"/>
      <c r="I351" s="8"/>
      <c r="J351" s="8"/>
      <c r="K351" s="9"/>
      <c r="L351" s="236"/>
      <c r="M351" s="236"/>
      <c r="O351" s="240"/>
      <c r="P351" s="10"/>
      <c r="Q351" s="243"/>
      <c r="R351" s="240"/>
    </row>
    <row r="352" spans="2:18" x14ac:dyDescent="0.25">
      <c r="B352" s="3"/>
      <c r="C352" s="3"/>
      <c r="D352" s="56"/>
      <c r="E352" s="4"/>
      <c r="F352" s="7"/>
      <c r="G352" s="4"/>
      <c r="H352" s="8"/>
      <c r="I352" s="8"/>
      <c r="J352" s="8"/>
      <c r="K352" s="9"/>
      <c r="L352" s="236"/>
      <c r="M352" s="236"/>
      <c r="O352" s="240"/>
      <c r="P352" s="10"/>
      <c r="Q352" s="243"/>
      <c r="R352" s="240"/>
    </row>
    <row r="353" spans="2:18" x14ac:dyDescent="0.25">
      <c r="B353" s="3"/>
      <c r="C353" s="3"/>
      <c r="D353" s="56"/>
      <c r="E353" s="4"/>
      <c r="F353" s="7"/>
      <c r="G353" s="4"/>
      <c r="H353" s="8"/>
      <c r="I353" s="8"/>
      <c r="J353" s="8"/>
      <c r="K353" s="9"/>
      <c r="L353" s="236"/>
      <c r="M353" s="236"/>
      <c r="O353" s="240"/>
      <c r="P353" s="10"/>
      <c r="Q353" s="243"/>
      <c r="R353" s="240"/>
    </row>
    <row r="354" spans="2:18" x14ac:dyDescent="0.25">
      <c r="B354" s="3"/>
      <c r="C354" s="3"/>
      <c r="D354" s="56"/>
      <c r="E354" s="4"/>
      <c r="F354" s="7"/>
      <c r="G354" s="4"/>
      <c r="H354" s="8"/>
      <c r="I354" s="8"/>
      <c r="J354" s="8"/>
      <c r="K354" s="9"/>
      <c r="L354" s="236"/>
      <c r="M354" s="236"/>
      <c r="O354" s="240"/>
      <c r="P354" s="10"/>
      <c r="Q354" s="243"/>
      <c r="R354" s="240"/>
    </row>
    <row r="355" spans="2:18" x14ac:dyDescent="0.25">
      <c r="B355" s="3"/>
      <c r="C355" s="3"/>
      <c r="D355" s="56"/>
      <c r="E355" s="4"/>
      <c r="F355" s="7"/>
      <c r="G355" s="4"/>
      <c r="H355" s="8"/>
      <c r="I355" s="8"/>
      <c r="J355" s="8"/>
      <c r="K355" s="9"/>
      <c r="L355" s="236"/>
      <c r="M355" s="236"/>
      <c r="O355" s="240"/>
      <c r="P355" s="10"/>
      <c r="Q355" s="243"/>
      <c r="R355" s="240"/>
    </row>
    <row r="356" spans="2:18" x14ac:dyDescent="0.25">
      <c r="B356" s="3"/>
      <c r="C356" s="3"/>
      <c r="D356" s="56"/>
      <c r="E356" s="4"/>
      <c r="F356" s="7"/>
      <c r="G356" s="4"/>
      <c r="H356" s="8"/>
      <c r="I356" s="8"/>
      <c r="J356" s="8"/>
      <c r="K356" s="9"/>
      <c r="L356" s="236"/>
      <c r="M356" s="236"/>
      <c r="O356" s="240"/>
      <c r="P356" s="10"/>
      <c r="Q356" s="243"/>
      <c r="R356" s="240"/>
    </row>
    <row r="357" spans="2:18" x14ac:dyDescent="0.25">
      <c r="B357" s="3"/>
      <c r="C357" s="3"/>
      <c r="D357" s="56"/>
      <c r="E357" s="4"/>
      <c r="F357" s="7"/>
      <c r="G357" s="4"/>
      <c r="H357" s="8"/>
      <c r="I357" s="8"/>
      <c r="J357" s="8"/>
      <c r="K357" s="9"/>
      <c r="L357" s="236"/>
      <c r="M357" s="236"/>
      <c r="O357" s="240"/>
      <c r="P357" s="10"/>
      <c r="Q357" s="243"/>
      <c r="R357" s="240"/>
    </row>
    <row r="358" spans="2:18" x14ac:dyDescent="0.25">
      <c r="B358" s="3"/>
      <c r="C358" s="3"/>
      <c r="D358" s="56"/>
      <c r="E358" s="4"/>
      <c r="F358" s="7"/>
      <c r="G358" s="4"/>
      <c r="H358" s="8"/>
      <c r="I358" s="8"/>
      <c r="J358" s="8"/>
      <c r="K358" s="9"/>
      <c r="L358" s="236"/>
      <c r="M358" s="236"/>
      <c r="O358" s="240"/>
      <c r="P358" s="10"/>
      <c r="Q358" s="243"/>
      <c r="R358" s="240"/>
    </row>
    <row r="359" spans="2:18" x14ac:dyDescent="0.25">
      <c r="B359" s="3"/>
      <c r="C359" s="3"/>
      <c r="D359" s="56"/>
      <c r="E359" s="4"/>
      <c r="F359" s="7"/>
      <c r="G359" s="4"/>
      <c r="H359" s="8"/>
      <c r="I359" s="8"/>
      <c r="J359" s="8"/>
      <c r="K359" s="9"/>
      <c r="L359" s="236"/>
      <c r="M359" s="236"/>
      <c r="O359" s="240"/>
      <c r="P359" s="10"/>
      <c r="Q359" s="243"/>
      <c r="R359" s="240"/>
    </row>
    <row r="360" spans="2:18" x14ac:dyDescent="0.25">
      <c r="B360" s="3"/>
      <c r="C360" s="3"/>
      <c r="D360" s="56"/>
      <c r="E360" s="4"/>
      <c r="F360" s="7"/>
      <c r="G360" s="4"/>
      <c r="H360" s="8"/>
      <c r="I360" s="8"/>
      <c r="J360" s="8"/>
      <c r="K360" s="9"/>
      <c r="L360" s="236"/>
      <c r="M360" s="236"/>
      <c r="O360" s="240"/>
      <c r="P360" s="10"/>
      <c r="Q360" s="243"/>
      <c r="R360" s="240"/>
    </row>
    <row r="361" spans="2:18" x14ac:dyDescent="0.25">
      <c r="B361" s="3"/>
      <c r="C361" s="3"/>
      <c r="D361" s="56"/>
      <c r="E361" s="4"/>
      <c r="F361" s="7"/>
      <c r="G361" s="4"/>
      <c r="H361" s="8"/>
      <c r="I361" s="8"/>
      <c r="J361" s="8"/>
      <c r="K361" s="9"/>
      <c r="L361" s="236"/>
      <c r="M361" s="236"/>
      <c r="O361" s="240"/>
      <c r="P361" s="10"/>
      <c r="Q361" s="243"/>
      <c r="R361" s="240"/>
    </row>
    <row r="362" spans="2:18" x14ac:dyDescent="0.25">
      <c r="B362" s="3"/>
      <c r="C362" s="3"/>
      <c r="D362" s="56"/>
      <c r="E362" s="4"/>
      <c r="F362" s="7"/>
      <c r="G362" s="4"/>
      <c r="H362" s="8"/>
      <c r="I362" s="8"/>
      <c r="J362" s="8"/>
      <c r="K362" s="9"/>
      <c r="L362" s="236"/>
      <c r="M362" s="236"/>
      <c r="O362" s="240"/>
      <c r="P362" s="10"/>
      <c r="Q362" s="243"/>
      <c r="R362" s="240"/>
    </row>
    <row r="363" spans="2:18" x14ac:dyDescent="0.25">
      <c r="B363" s="3"/>
      <c r="C363" s="3"/>
      <c r="D363" s="56"/>
      <c r="E363" s="4"/>
      <c r="F363" s="7"/>
      <c r="G363" s="4"/>
      <c r="H363" s="8"/>
      <c r="I363" s="8"/>
      <c r="J363" s="8"/>
      <c r="K363" s="9"/>
      <c r="L363" s="236"/>
      <c r="M363" s="236"/>
      <c r="O363" s="240"/>
      <c r="P363" s="10"/>
      <c r="Q363" s="243"/>
      <c r="R363" s="240"/>
    </row>
    <row r="364" spans="2:18" x14ac:dyDescent="0.25">
      <c r="B364" s="3"/>
      <c r="C364" s="3"/>
      <c r="D364" s="56"/>
      <c r="E364" s="4"/>
      <c r="F364" s="7"/>
      <c r="G364" s="4"/>
      <c r="H364" s="8"/>
      <c r="I364" s="8"/>
      <c r="J364" s="8"/>
      <c r="K364" s="9"/>
      <c r="L364" s="236"/>
      <c r="M364" s="236"/>
      <c r="O364" s="240"/>
      <c r="P364" s="10"/>
      <c r="Q364" s="243"/>
      <c r="R364" s="240"/>
    </row>
    <row r="365" spans="2:18" x14ac:dyDescent="0.25">
      <c r="B365" s="3"/>
      <c r="C365" s="3"/>
      <c r="D365" s="56"/>
      <c r="E365" s="4"/>
      <c r="F365" s="7"/>
      <c r="G365" s="4"/>
      <c r="H365" s="8"/>
      <c r="I365" s="8"/>
      <c r="J365" s="8"/>
      <c r="K365" s="9"/>
      <c r="L365" s="236"/>
      <c r="M365" s="236"/>
      <c r="O365" s="240"/>
      <c r="P365" s="10"/>
      <c r="Q365" s="243"/>
      <c r="R365" s="240"/>
    </row>
    <row r="366" spans="2:18" x14ac:dyDescent="0.25">
      <c r="B366" s="3"/>
      <c r="C366" s="3"/>
      <c r="D366" s="56"/>
      <c r="E366" s="4"/>
      <c r="F366" s="7"/>
      <c r="G366" s="4"/>
      <c r="H366" s="8"/>
      <c r="I366" s="8"/>
      <c r="J366" s="8"/>
      <c r="K366" s="9"/>
      <c r="L366" s="236"/>
      <c r="M366" s="236"/>
      <c r="O366" s="240"/>
      <c r="P366" s="10"/>
      <c r="Q366" s="243"/>
      <c r="R366" s="240"/>
    </row>
    <row r="367" spans="2:18" x14ac:dyDescent="0.25">
      <c r="B367" s="3"/>
      <c r="C367" s="3"/>
      <c r="D367" s="56"/>
      <c r="E367" s="4"/>
      <c r="F367" s="7"/>
      <c r="G367" s="4"/>
      <c r="H367" s="8"/>
      <c r="I367" s="8"/>
      <c r="J367" s="8"/>
      <c r="K367" s="9"/>
      <c r="L367" s="236"/>
      <c r="M367" s="236"/>
      <c r="O367" s="240"/>
      <c r="P367" s="10"/>
      <c r="Q367" s="243"/>
      <c r="R367" s="240"/>
    </row>
    <row r="368" spans="2:18" x14ac:dyDescent="0.25">
      <c r="B368" s="3"/>
      <c r="C368" s="3"/>
      <c r="D368" s="56"/>
      <c r="E368" s="4"/>
      <c r="F368" s="7"/>
      <c r="G368" s="4"/>
      <c r="H368" s="8"/>
      <c r="I368" s="8"/>
      <c r="J368" s="8"/>
      <c r="K368" s="9"/>
      <c r="L368" s="236"/>
      <c r="M368" s="236"/>
      <c r="O368" s="240"/>
      <c r="P368" s="10"/>
      <c r="Q368" s="243"/>
      <c r="R368" s="240"/>
    </row>
    <row r="369" spans="2:18" x14ac:dyDescent="0.25">
      <c r="B369" s="3"/>
      <c r="C369" s="3"/>
      <c r="D369" s="56"/>
      <c r="E369" s="4"/>
      <c r="F369" s="7"/>
      <c r="G369" s="4"/>
      <c r="H369" s="8"/>
      <c r="I369" s="8"/>
      <c r="J369" s="8"/>
      <c r="K369" s="9"/>
      <c r="L369" s="236"/>
      <c r="M369" s="236"/>
      <c r="O369" s="240"/>
      <c r="P369" s="10"/>
      <c r="Q369" s="243"/>
      <c r="R369" s="240"/>
    </row>
    <row r="370" spans="2:18" x14ac:dyDescent="0.25">
      <c r="B370" s="3"/>
      <c r="C370" s="3"/>
      <c r="D370" s="56"/>
      <c r="E370" s="4"/>
      <c r="F370" s="7"/>
      <c r="G370" s="4"/>
      <c r="H370" s="8"/>
      <c r="I370" s="8"/>
      <c r="J370" s="8"/>
      <c r="K370" s="9"/>
      <c r="L370" s="236"/>
      <c r="M370" s="236"/>
      <c r="O370" s="240"/>
      <c r="P370" s="10"/>
      <c r="Q370" s="243"/>
      <c r="R370" s="240"/>
    </row>
    <row r="371" spans="2:18" x14ac:dyDescent="0.25">
      <c r="B371" s="3"/>
      <c r="C371" s="3"/>
      <c r="D371" s="56"/>
      <c r="E371" s="4"/>
      <c r="F371" s="7"/>
      <c r="G371" s="4"/>
      <c r="H371" s="8"/>
      <c r="I371" s="8"/>
      <c r="J371" s="8"/>
      <c r="K371" s="9"/>
      <c r="L371" s="236"/>
      <c r="M371" s="236"/>
      <c r="O371" s="240"/>
      <c r="P371" s="10"/>
      <c r="Q371" s="243"/>
      <c r="R371" s="240"/>
    </row>
    <row r="372" spans="2:18" x14ac:dyDescent="0.25">
      <c r="B372" s="3"/>
      <c r="C372" s="3"/>
      <c r="D372" s="56"/>
      <c r="E372" s="4"/>
      <c r="F372" s="7"/>
      <c r="G372" s="4"/>
      <c r="H372" s="8"/>
      <c r="I372" s="8"/>
      <c r="J372" s="8"/>
      <c r="K372" s="9"/>
      <c r="L372" s="236"/>
      <c r="M372" s="236"/>
      <c r="O372" s="240"/>
      <c r="P372" s="10"/>
      <c r="Q372" s="243"/>
      <c r="R372" s="240"/>
    </row>
    <row r="373" spans="2:18" x14ac:dyDescent="0.25">
      <c r="B373" s="3"/>
      <c r="C373" s="3"/>
      <c r="D373" s="56"/>
      <c r="E373" s="4"/>
      <c r="F373" s="7"/>
      <c r="G373" s="4"/>
      <c r="H373" s="8"/>
      <c r="I373" s="8"/>
      <c r="J373" s="8"/>
      <c r="K373" s="9"/>
      <c r="L373" s="236"/>
      <c r="M373" s="236"/>
      <c r="O373" s="240"/>
      <c r="P373" s="10"/>
      <c r="Q373" s="243"/>
      <c r="R373" s="240"/>
    </row>
    <row r="374" spans="2:18" x14ac:dyDescent="0.25">
      <c r="B374" s="3"/>
      <c r="C374" s="3"/>
      <c r="D374" s="56"/>
      <c r="E374" s="4"/>
      <c r="F374" s="7"/>
      <c r="G374" s="4"/>
      <c r="H374" s="8"/>
      <c r="I374" s="8"/>
      <c r="J374" s="8"/>
      <c r="K374" s="9"/>
      <c r="L374" s="236"/>
      <c r="M374" s="236"/>
      <c r="O374" s="240"/>
      <c r="P374" s="10"/>
      <c r="Q374" s="243"/>
      <c r="R374" s="240"/>
    </row>
    <row r="375" spans="2:18" x14ac:dyDescent="0.25">
      <c r="B375" s="3"/>
      <c r="C375" s="3"/>
      <c r="D375" s="56"/>
      <c r="E375" s="4"/>
      <c r="F375" s="7"/>
      <c r="G375" s="4"/>
      <c r="H375" s="8"/>
      <c r="I375" s="8"/>
      <c r="J375" s="8"/>
      <c r="K375" s="9"/>
      <c r="L375" s="236"/>
      <c r="M375" s="236"/>
      <c r="O375" s="240"/>
      <c r="P375" s="10"/>
      <c r="Q375" s="243"/>
      <c r="R375" s="240"/>
    </row>
    <row r="376" spans="2:18" x14ac:dyDescent="0.25">
      <c r="B376" s="3"/>
      <c r="C376" s="3"/>
      <c r="D376" s="56"/>
      <c r="E376" s="4"/>
      <c r="F376" s="7"/>
      <c r="G376" s="4"/>
      <c r="H376" s="8"/>
      <c r="I376" s="8"/>
      <c r="J376" s="8"/>
      <c r="K376" s="9"/>
      <c r="L376" s="236"/>
      <c r="M376" s="236"/>
      <c r="O376" s="240"/>
      <c r="P376" s="10"/>
      <c r="Q376" s="243"/>
      <c r="R376" s="240"/>
    </row>
    <row r="377" spans="2:18" x14ac:dyDescent="0.25">
      <c r="B377" s="3"/>
      <c r="C377" s="3"/>
      <c r="D377" s="56"/>
      <c r="E377" s="4"/>
      <c r="F377" s="7"/>
      <c r="G377" s="4"/>
      <c r="H377" s="8"/>
      <c r="I377" s="8"/>
      <c r="J377" s="8"/>
      <c r="K377" s="9"/>
      <c r="L377" s="236"/>
      <c r="M377" s="236"/>
      <c r="O377" s="240"/>
      <c r="P377" s="10"/>
      <c r="Q377" s="243"/>
      <c r="R377" s="240"/>
    </row>
    <row r="378" spans="2:18" x14ac:dyDescent="0.25">
      <c r="B378" s="3"/>
      <c r="C378" s="3"/>
      <c r="D378" s="56"/>
      <c r="E378" s="4"/>
      <c r="F378" s="7"/>
      <c r="G378" s="4"/>
      <c r="H378" s="8"/>
      <c r="I378" s="8"/>
      <c r="J378" s="8"/>
      <c r="K378" s="9"/>
      <c r="L378" s="236"/>
      <c r="M378" s="236"/>
      <c r="O378" s="240"/>
      <c r="P378" s="10"/>
      <c r="Q378" s="243"/>
      <c r="R378" s="240"/>
    </row>
    <row r="379" spans="2:18" x14ac:dyDescent="0.25">
      <c r="B379" s="3"/>
      <c r="C379" s="3"/>
      <c r="D379" s="56"/>
      <c r="E379" s="4"/>
      <c r="F379" s="7"/>
      <c r="G379" s="4"/>
      <c r="H379" s="8"/>
      <c r="I379" s="8"/>
      <c r="J379" s="8"/>
      <c r="K379" s="9"/>
      <c r="L379" s="236"/>
      <c r="M379" s="236"/>
      <c r="O379" s="240"/>
      <c r="P379" s="10"/>
      <c r="Q379" s="243"/>
      <c r="R379" s="240"/>
    </row>
    <row r="380" spans="2:18" x14ac:dyDescent="0.25">
      <c r="B380" s="3"/>
      <c r="C380" s="3"/>
      <c r="D380" s="56"/>
      <c r="E380" s="4"/>
      <c r="F380" s="7"/>
      <c r="G380" s="4"/>
      <c r="H380" s="8"/>
      <c r="I380" s="8"/>
      <c r="J380" s="8"/>
      <c r="K380" s="9"/>
      <c r="L380" s="236"/>
      <c r="M380" s="236"/>
      <c r="O380" s="240"/>
      <c r="P380" s="10"/>
      <c r="Q380" s="243"/>
      <c r="R380" s="240"/>
    </row>
    <row r="381" spans="2:18" x14ac:dyDescent="0.25">
      <c r="B381" s="3"/>
      <c r="C381" s="3"/>
      <c r="D381" s="56"/>
      <c r="E381" s="4"/>
      <c r="F381" s="7"/>
      <c r="G381" s="4"/>
      <c r="H381" s="8"/>
      <c r="I381" s="8"/>
      <c r="J381" s="8"/>
      <c r="K381" s="9"/>
      <c r="L381" s="236"/>
      <c r="M381" s="236"/>
      <c r="O381" s="240"/>
      <c r="P381" s="10"/>
      <c r="Q381" s="243"/>
      <c r="R381" s="240"/>
    </row>
    <row r="382" spans="2:18" x14ac:dyDescent="0.25">
      <c r="B382" s="3"/>
      <c r="C382" s="3"/>
      <c r="D382" s="56"/>
      <c r="E382" s="4"/>
      <c r="F382" s="7"/>
      <c r="G382" s="4"/>
      <c r="H382" s="8"/>
      <c r="I382" s="8"/>
      <c r="J382" s="8"/>
      <c r="K382" s="9"/>
      <c r="L382" s="236"/>
      <c r="M382" s="236"/>
      <c r="O382" s="240"/>
      <c r="P382" s="10"/>
      <c r="Q382" s="243"/>
      <c r="R382" s="240"/>
    </row>
  </sheetData>
  <sheetProtection selectLockedCells="1"/>
  <mergeCells count="8">
    <mergeCell ref="B108:R108"/>
    <mergeCell ref="B106:R107"/>
    <mergeCell ref="L2:O2"/>
    <mergeCell ref="B98:R98"/>
    <mergeCell ref="B99:R100"/>
    <mergeCell ref="B101:R104"/>
    <mergeCell ref="B105:R105"/>
    <mergeCell ref="L4:M4"/>
  </mergeCells>
  <dataValidations count="1">
    <dataValidation type="list" allowBlank="1" showInputMessage="1" showErrorMessage="1" sqref="P11">
      <formula1>"Sin devolución, Con devolución, PNP-Sin devolución, PNP-Con devolución, Sin seguro"</formula1>
    </dataValidation>
  </dataValidations>
  <printOptions horizontalCentered="1"/>
  <pageMargins left="0.27559055118110237" right="0.43307086614173229" top="0.31496062992125984" bottom="0.55118110236220474" header="0.31496062992125984" footer="0.19685039370078741"/>
  <pageSetup paperSize="9" scale="60" orientation="portrait" horizontalDpi="300" verticalDpi="300" r:id="rId1"/>
  <headerFooter>
    <oddFooter>&amp;L&amp;"Arial,Normal"&amp;10Las operaciones realizadas en la cuenta se encuentran afectas al pago del Impuesto por Transacciones Financieras (ITF): 0.005%.
N/C y A = Notas de Cargo y Abono</oddFooter>
  </headerFooter>
  <ignoredErrors>
    <ignoredError sqref="O95 P94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BD!$B$2:$B$269</xm:f>
          </x14:formula1>
          <xm:sqref>L4:M4</xm:sqref>
        </x14:dataValidation>
        <x14:dataValidation type="list" allowBlank="1" showInputMessage="1" showErrorMessage="1">
          <x14:formula1>
            <xm:f>BD!J1048571:J1048571</xm:f>
          </x14:formula1>
          <xm:sqref>L4:M4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G193"/>
  <sheetViews>
    <sheetView zoomScale="120" zoomScaleNormal="120" workbookViewId="0">
      <pane xSplit="1" ySplit="1" topLeftCell="L139" activePane="bottomRight" state="frozen"/>
      <selection pane="topRight" activeCell="B1" sqref="B1"/>
      <selection pane="bottomLeft" activeCell="A3" sqref="A3"/>
      <selection pane="bottomRight" activeCell="Q145" sqref="Q145"/>
    </sheetView>
  </sheetViews>
  <sheetFormatPr baseColWidth="10" defaultColWidth="11.44140625" defaultRowHeight="14.4" x14ac:dyDescent="0.3"/>
  <cols>
    <col min="1" max="1" width="39.44140625" bestFit="1" customWidth="1"/>
    <col min="2" max="2" width="40.44140625" customWidth="1"/>
    <col min="3" max="3" width="17.44140625" customWidth="1"/>
    <col min="4" max="4" width="16.44140625" customWidth="1"/>
    <col min="8" max="8" width="21.44140625" customWidth="1"/>
    <col min="9" max="9" width="17.44140625" customWidth="1"/>
    <col min="11" max="11" width="31.77734375" customWidth="1"/>
    <col min="18" max="18" width="11.44140625" style="54"/>
    <col min="20" max="20" width="31" customWidth="1"/>
    <col min="22" max="22" width="14.44140625" customWidth="1"/>
    <col min="24" max="24" width="21.44140625" customWidth="1"/>
    <col min="28" max="28" width="35.44140625" customWidth="1"/>
  </cols>
  <sheetData>
    <row r="1" spans="1:30" ht="27.6" x14ac:dyDescent="0.3">
      <c r="A1" s="33" t="s">
        <v>48</v>
      </c>
      <c r="B1" s="33" t="s">
        <v>49</v>
      </c>
      <c r="C1" s="40" t="s">
        <v>50</v>
      </c>
      <c r="D1" s="33" t="s">
        <v>51</v>
      </c>
      <c r="E1" s="33" t="s">
        <v>52</v>
      </c>
      <c r="F1" s="33" t="s">
        <v>53</v>
      </c>
      <c r="G1" s="33" t="s">
        <v>54</v>
      </c>
      <c r="H1" s="33" t="s">
        <v>55</v>
      </c>
      <c r="I1" s="34" t="s">
        <v>56</v>
      </c>
      <c r="J1" s="33" t="s">
        <v>57</v>
      </c>
      <c r="K1" s="33" t="s">
        <v>58</v>
      </c>
      <c r="L1" s="41" t="s">
        <v>59</v>
      </c>
      <c r="M1" s="33" t="s">
        <v>60</v>
      </c>
      <c r="N1" s="41" t="s">
        <v>59</v>
      </c>
      <c r="O1" s="33" t="s">
        <v>60</v>
      </c>
      <c r="P1" s="33" t="s">
        <v>87</v>
      </c>
      <c r="Q1" s="33" t="s">
        <v>88</v>
      </c>
      <c r="R1" s="42" t="s">
        <v>89</v>
      </c>
      <c r="S1" s="42" t="s">
        <v>128</v>
      </c>
      <c r="T1" s="33" t="s">
        <v>61</v>
      </c>
      <c r="U1" s="33" t="s">
        <v>62</v>
      </c>
      <c r="V1" s="33" t="s">
        <v>63</v>
      </c>
      <c r="W1" s="33" t="s">
        <v>64</v>
      </c>
      <c r="X1" s="33" t="s">
        <v>65</v>
      </c>
      <c r="Y1" s="35" t="s">
        <v>66</v>
      </c>
      <c r="Z1" s="35" t="s">
        <v>67</v>
      </c>
      <c r="AA1" s="50" t="s">
        <v>86</v>
      </c>
      <c r="AB1" s="33" t="s">
        <v>137</v>
      </c>
      <c r="AC1" s="33" t="s">
        <v>138</v>
      </c>
      <c r="AD1" s="50" t="s">
        <v>343</v>
      </c>
    </row>
    <row r="2" spans="1:30" ht="18" customHeight="1" x14ac:dyDescent="0.3">
      <c r="A2" s="68" t="s">
        <v>586</v>
      </c>
      <c r="B2" s="68" t="s">
        <v>586</v>
      </c>
      <c r="C2" s="44"/>
      <c r="D2" s="68" t="s">
        <v>100</v>
      </c>
      <c r="E2" s="70" t="s">
        <v>164</v>
      </c>
      <c r="F2" s="68" t="s">
        <v>165</v>
      </c>
      <c r="G2" s="67"/>
      <c r="H2" s="36" t="s">
        <v>166</v>
      </c>
      <c r="I2" s="45">
        <v>10000000</v>
      </c>
      <c r="J2" s="46" t="s">
        <v>74</v>
      </c>
      <c r="K2" s="37" t="s">
        <v>75</v>
      </c>
      <c r="L2" s="165">
        <v>0.5</v>
      </c>
      <c r="M2" s="37" t="s">
        <v>77</v>
      </c>
      <c r="N2" s="165">
        <v>0.5</v>
      </c>
      <c r="O2" s="37" t="s">
        <v>77</v>
      </c>
      <c r="P2" s="66">
        <v>30</v>
      </c>
      <c r="Q2" s="43">
        <v>15</v>
      </c>
      <c r="R2" s="53">
        <v>1</v>
      </c>
      <c r="S2" s="53">
        <v>0</v>
      </c>
      <c r="T2" s="66" t="s">
        <v>167</v>
      </c>
      <c r="U2" s="66"/>
      <c r="V2" s="38" t="s">
        <v>146</v>
      </c>
      <c r="W2" s="66"/>
      <c r="X2" s="43"/>
      <c r="Y2" s="66"/>
      <c r="Z2" s="66"/>
      <c r="AA2" s="65"/>
      <c r="AB2" s="72">
        <v>0.13500000000000001</v>
      </c>
      <c r="AC2" s="71">
        <v>0.14000000000000001</v>
      </c>
    </row>
    <row r="3" spans="1:30" ht="18" customHeight="1" x14ac:dyDescent="0.3">
      <c r="A3" s="68" t="s">
        <v>532</v>
      </c>
      <c r="B3" s="68" t="s">
        <v>532</v>
      </c>
      <c r="C3" s="44"/>
      <c r="D3" s="68"/>
      <c r="E3" s="70"/>
      <c r="F3" s="68"/>
      <c r="G3" s="67"/>
      <c r="H3" s="36"/>
      <c r="I3" s="45"/>
      <c r="J3" s="46"/>
      <c r="K3" s="37"/>
      <c r="L3" s="165">
        <v>0.45</v>
      </c>
      <c r="M3" s="37" t="s">
        <v>76</v>
      </c>
      <c r="N3" s="165">
        <v>0.45</v>
      </c>
      <c r="O3" s="37" t="s">
        <v>76</v>
      </c>
      <c r="P3" s="66">
        <v>30</v>
      </c>
      <c r="Q3" s="43">
        <v>17</v>
      </c>
      <c r="R3" s="53">
        <v>1</v>
      </c>
      <c r="S3" s="53"/>
      <c r="T3" s="66"/>
      <c r="U3" s="66"/>
      <c r="V3" s="38"/>
      <c r="W3" s="66"/>
      <c r="X3" s="43"/>
      <c r="Y3" s="66"/>
      <c r="Z3" s="66"/>
      <c r="AA3" s="65"/>
      <c r="AB3" s="72"/>
      <c r="AC3" s="71"/>
    </row>
    <row r="4" spans="1:30" ht="18" customHeight="1" x14ac:dyDescent="0.3">
      <c r="A4" s="68" t="s">
        <v>163</v>
      </c>
      <c r="B4" s="68" t="s">
        <v>493</v>
      </c>
      <c r="C4" s="44"/>
      <c r="D4" s="68" t="s">
        <v>100</v>
      </c>
      <c r="E4" s="70" t="s">
        <v>164</v>
      </c>
      <c r="F4" s="68" t="s">
        <v>165</v>
      </c>
      <c r="G4" s="67"/>
      <c r="H4" s="36" t="s">
        <v>166</v>
      </c>
      <c r="I4" s="45">
        <v>10000000</v>
      </c>
      <c r="J4" s="46" t="s">
        <v>74</v>
      </c>
      <c r="K4" s="37" t="s">
        <v>75</v>
      </c>
      <c r="L4" s="165">
        <v>0.5</v>
      </c>
      <c r="M4" s="37" t="s">
        <v>77</v>
      </c>
      <c r="N4" s="165">
        <v>0.5</v>
      </c>
      <c r="O4" s="37" t="s">
        <v>77</v>
      </c>
      <c r="P4" s="66">
        <v>20</v>
      </c>
      <c r="Q4" s="43">
        <v>17</v>
      </c>
      <c r="R4" s="53">
        <v>1</v>
      </c>
      <c r="S4" s="53">
        <v>0</v>
      </c>
      <c r="T4" s="66" t="s">
        <v>167</v>
      </c>
      <c r="U4" s="66"/>
      <c r="V4" s="38" t="s">
        <v>146</v>
      </c>
      <c r="W4" s="66"/>
      <c r="X4" s="43"/>
      <c r="Y4" s="66"/>
      <c r="Z4" s="66"/>
      <c r="AA4" s="65"/>
      <c r="AB4" s="72">
        <v>0.13500000000000001</v>
      </c>
      <c r="AC4" s="71">
        <v>0.14000000000000001</v>
      </c>
    </row>
    <row r="5" spans="1:30" ht="29.55" customHeight="1" x14ac:dyDescent="0.3">
      <c r="A5" s="263" t="s">
        <v>552</v>
      </c>
      <c r="B5" s="68" t="s">
        <v>553</v>
      </c>
      <c r="C5" s="44"/>
      <c r="D5" s="68"/>
      <c r="E5" s="70"/>
      <c r="F5" s="68"/>
      <c r="G5" s="67"/>
      <c r="H5" s="36"/>
      <c r="I5" s="45"/>
      <c r="J5" s="46"/>
      <c r="K5" s="37"/>
      <c r="L5" s="47">
        <v>0.5</v>
      </c>
      <c r="M5" s="37" t="s">
        <v>77</v>
      </c>
      <c r="N5" s="47">
        <v>0.5</v>
      </c>
      <c r="O5" s="37" t="s">
        <v>77</v>
      </c>
      <c r="P5" s="66">
        <v>20</v>
      </c>
      <c r="Q5" s="43">
        <v>15</v>
      </c>
      <c r="R5" s="53">
        <v>1</v>
      </c>
      <c r="S5" s="53"/>
      <c r="T5" s="66"/>
      <c r="U5" s="66"/>
      <c r="V5" s="38"/>
      <c r="W5" s="66"/>
      <c r="X5" s="43"/>
      <c r="Y5" s="66"/>
      <c r="Z5" s="66"/>
      <c r="AA5" s="65"/>
      <c r="AB5" s="72"/>
      <c r="AC5" s="71"/>
    </row>
    <row r="6" spans="1:30" ht="18" customHeight="1" x14ac:dyDescent="0.3">
      <c r="A6" s="43" t="s">
        <v>233</v>
      </c>
      <c r="B6" s="43" t="s">
        <v>233</v>
      </c>
      <c r="C6" s="44"/>
      <c r="D6" s="43" t="s">
        <v>123</v>
      </c>
      <c r="E6" s="69" t="s">
        <v>234</v>
      </c>
      <c r="F6" s="69" t="s">
        <v>234</v>
      </c>
      <c r="G6" s="67"/>
      <c r="H6" s="78" t="s">
        <v>235</v>
      </c>
      <c r="I6" s="45"/>
      <c r="J6" s="80" t="s">
        <v>74</v>
      </c>
      <c r="K6" s="53" t="s">
        <v>75</v>
      </c>
      <c r="L6" s="47">
        <v>0.4</v>
      </c>
      <c r="M6" s="37" t="s">
        <v>76</v>
      </c>
      <c r="N6" s="47">
        <v>0.4</v>
      </c>
      <c r="O6" s="37" t="s">
        <v>77</v>
      </c>
      <c r="P6" s="164">
        <v>25</v>
      </c>
      <c r="Q6" s="43">
        <v>15</v>
      </c>
      <c r="R6" s="53">
        <v>1</v>
      </c>
      <c r="S6" s="53">
        <v>0</v>
      </c>
      <c r="T6" s="38"/>
      <c r="U6" s="38"/>
      <c r="V6" s="38" t="s">
        <v>236</v>
      </c>
      <c r="W6" s="38" t="s">
        <v>237</v>
      </c>
      <c r="X6" s="43"/>
      <c r="Y6" s="48"/>
      <c r="Z6" s="66"/>
      <c r="AA6" s="65"/>
      <c r="AB6" s="72">
        <v>0.12</v>
      </c>
      <c r="AC6" s="71"/>
      <c r="AD6" t="s">
        <v>345</v>
      </c>
    </row>
    <row r="7" spans="1:30" x14ac:dyDescent="0.3">
      <c r="A7" s="43" t="s">
        <v>341</v>
      </c>
      <c r="B7" s="43" t="s">
        <v>341</v>
      </c>
      <c r="C7" s="44"/>
      <c r="D7" s="43" t="s">
        <v>123</v>
      </c>
      <c r="E7" s="69" t="s">
        <v>234</v>
      </c>
      <c r="F7" s="69" t="s">
        <v>234</v>
      </c>
      <c r="G7" s="67"/>
      <c r="H7" s="78" t="s">
        <v>235</v>
      </c>
      <c r="I7" s="45"/>
      <c r="J7" s="80" t="s">
        <v>74</v>
      </c>
      <c r="K7" s="53" t="s">
        <v>75</v>
      </c>
      <c r="L7" s="47">
        <v>0.5</v>
      </c>
      <c r="M7" s="37" t="s">
        <v>76</v>
      </c>
      <c r="N7" s="47">
        <v>0.5</v>
      </c>
      <c r="O7" s="37" t="s">
        <v>77</v>
      </c>
      <c r="P7" s="164">
        <v>25</v>
      </c>
      <c r="Q7" s="43">
        <v>10</v>
      </c>
      <c r="R7" s="53">
        <v>1</v>
      </c>
      <c r="S7" s="53">
        <v>0</v>
      </c>
      <c r="T7" s="38"/>
      <c r="U7" s="38"/>
      <c r="V7" s="38" t="s">
        <v>236</v>
      </c>
      <c r="W7" s="38" t="s">
        <v>237</v>
      </c>
      <c r="X7" s="43"/>
      <c r="Y7" s="48"/>
      <c r="Z7" s="66"/>
      <c r="AA7" s="65"/>
      <c r="AB7" s="72">
        <v>0.12</v>
      </c>
      <c r="AC7" s="71"/>
      <c r="AD7" t="s">
        <v>349</v>
      </c>
    </row>
    <row r="8" spans="1:30" x14ac:dyDescent="0.3">
      <c r="A8" s="43" t="s">
        <v>261</v>
      </c>
      <c r="B8" s="43" t="s">
        <v>261</v>
      </c>
      <c r="C8" s="44"/>
      <c r="D8" s="43" t="s">
        <v>120</v>
      </c>
      <c r="E8" s="69" t="s">
        <v>164</v>
      </c>
      <c r="F8" s="69" t="s">
        <v>164</v>
      </c>
      <c r="G8" s="67"/>
      <c r="H8" s="78" t="s">
        <v>262</v>
      </c>
      <c r="I8" s="45"/>
      <c r="J8" s="80" t="s">
        <v>74</v>
      </c>
      <c r="K8" s="53" t="s">
        <v>75</v>
      </c>
      <c r="L8" s="165">
        <v>0.4</v>
      </c>
      <c r="M8" s="37" t="s">
        <v>76</v>
      </c>
      <c r="N8" s="165">
        <v>0.4</v>
      </c>
      <c r="O8" s="37" t="s">
        <v>252</v>
      </c>
      <c r="P8" s="164">
        <v>20</v>
      </c>
      <c r="Q8" s="43">
        <v>15</v>
      </c>
      <c r="R8" s="53">
        <v>1</v>
      </c>
      <c r="S8" s="53">
        <v>0</v>
      </c>
      <c r="T8" s="38"/>
      <c r="U8" s="38"/>
      <c r="V8" s="38" t="s">
        <v>236</v>
      </c>
      <c r="W8" s="38" t="s">
        <v>237</v>
      </c>
      <c r="X8" s="43"/>
      <c r="Y8" s="48"/>
      <c r="Z8" s="66"/>
      <c r="AA8" s="65"/>
      <c r="AB8" s="72" t="s">
        <v>263</v>
      </c>
      <c r="AC8" s="71" t="s">
        <v>264</v>
      </c>
      <c r="AD8" t="s">
        <v>347</v>
      </c>
    </row>
    <row r="9" spans="1:30" x14ac:dyDescent="0.3">
      <c r="A9" s="43" t="s">
        <v>545</v>
      </c>
      <c r="B9" s="43" t="s">
        <v>573</v>
      </c>
      <c r="C9" s="44"/>
      <c r="D9" s="43"/>
      <c r="E9" s="69"/>
      <c r="F9" s="69"/>
      <c r="G9" s="67"/>
      <c r="H9" s="78"/>
      <c r="I9" s="45"/>
      <c r="J9" s="80"/>
      <c r="K9" s="53"/>
      <c r="L9" s="165">
        <v>0.47</v>
      </c>
      <c r="M9" s="37" t="s">
        <v>546</v>
      </c>
      <c r="N9" s="165">
        <v>0.47</v>
      </c>
      <c r="O9" s="37" t="s">
        <v>546</v>
      </c>
      <c r="P9" s="164">
        <v>18</v>
      </c>
      <c r="Q9" s="43">
        <v>10</v>
      </c>
      <c r="R9" s="53">
        <v>1</v>
      </c>
      <c r="S9" s="53"/>
      <c r="T9" s="38"/>
      <c r="U9" s="38"/>
      <c r="V9" s="38"/>
      <c r="W9" s="38"/>
      <c r="X9" s="43"/>
      <c r="Y9" s="48"/>
      <c r="Z9" s="66"/>
      <c r="AA9" s="65"/>
      <c r="AB9" s="72"/>
      <c r="AC9" s="71"/>
    </row>
    <row r="10" spans="1:30" s="86" customFormat="1" x14ac:dyDescent="0.3">
      <c r="A10" s="43" t="s">
        <v>325</v>
      </c>
      <c r="B10" s="43" t="s">
        <v>325</v>
      </c>
      <c r="C10" s="44"/>
      <c r="D10" s="43"/>
      <c r="E10" s="69"/>
      <c r="F10" s="69"/>
      <c r="G10" s="67"/>
      <c r="H10" s="36"/>
      <c r="I10" s="45"/>
      <c r="J10" s="46"/>
      <c r="K10" s="37"/>
      <c r="L10" s="165">
        <v>0.47</v>
      </c>
      <c r="M10" s="37" t="s">
        <v>76</v>
      </c>
      <c r="N10" s="165">
        <v>0.47</v>
      </c>
      <c r="O10" s="37" t="s">
        <v>76</v>
      </c>
      <c r="P10" s="43">
        <v>28</v>
      </c>
      <c r="Q10" s="43">
        <v>15</v>
      </c>
      <c r="R10" s="53">
        <v>1</v>
      </c>
      <c r="S10" s="53"/>
      <c r="T10" s="66"/>
      <c r="U10" s="38"/>
      <c r="V10" s="38"/>
      <c r="W10" s="38"/>
      <c r="X10" s="43"/>
      <c r="Y10" s="48"/>
      <c r="Z10" s="64"/>
      <c r="AA10" s="65"/>
      <c r="AB10" s="87"/>
      <c r="AC10" s="71"/>
      <c r="AD10" t="s">
        <v>348</v>
      </c>
    </row>
    <row r="11" spans="1:30" ht="18" customHeight="1" x14ac:dyDescent="0.3">
      <c r="A11" s="43" t="s">
        <v>253</v>
      </c>
      <c r="B11" s="43" t="s">
        <v>253</v>
      </c>
      <c r="C11" s="44" t="s">
        <v>255</v>
      </c>
      <c r="D11" s="43" t="s">
        <v>120</v>
      </c>
      <c r="E11" s="69" t="s">
        <v>209</v>
      </c>
      <c r="F11" s="69"/>
      <c r="G11" s="67"/>
      <c r="H11" s="36" t="s">
        <v>254</v>
      </c>
      <c r="I11" s="45"/>
      <c r="J11" s="80" t="s">
        <v>74</v>
      </c>
      <c r="K11" s="53" t="s">
        <v>75</v>
      </c>
      <c r="L11" s="165">
        <v>0.4</v>
      </c>
      <c r="M11" s="37" t="s">
        <v>76</v>
      </c>
      <c r="N11" s="165">
        <v>0.4</v>
      </c>
      <c r="O11" s="37" t="s">
        <v>252</v>
      </c>
      <c r="P11" s="164">
        <v>20</v>
      </c>
      <c r="Q11" s="43">
        <v>15</v>
      </c>
      <c r="R11" s="53">
        <v>1</v>
      </c>
      <c r="S11" s="53">
        <v>0</v>
      </c>
      <c r="T11" s="38"/>
      <c r="U11" s="38"/>
      <c r="V11" s="38"/>
      <c r="W11" s="38"/>
      <c r="X11" s="43"/>
      <c r="Y11" s="48"/>
      <c r="Z11" s="66"/>
      <c r="AA11" s="65"/>
      <c r="AB11" s="72">
        <v>0.125</v>
      </c>
      <c r="AC11" s="71">
        <v>0.127</v>
      </c>
      <c r="AD11" t="s">
        <v>351</v>
      </c>
    </row>
    <row r="12" spans="1:30" ht="18" customHeight="1" x14ac:dyDescent="0.3">
      <c r="A12" s="43" t="s">
        <v>175</v>
      </c>
      <c r="B12" s="43" t="s">
        <v>176</v>
      </c>
      <c r="C12" s="43" t="s">
        <v>177</v>
      </c>
      <c r="D12" s="43" t="s">
        <v>123</v>
      </c>
      <c r="E12" s="43" t="s">
        <v>178</v>
      </c>
      <c r="F12" s="43" t="s">
        <v>178</v>
      </c>
      <c r="G12" s="74">
        <v>43101</v>
      </c>
      <c r="H12" s="75">
        <v>0.1285</v>
      </c>
      <c r="I12" s="45">
        <v>9000000</v>
      </c>
      <c r="J12" s="43" t="s">
        <v>74</v>
      </c>
      <c r="K12" s="37" t="s">
        <v>75</v>
      </c>
      <c r="L12" s="47">
        <v>0.5</v>
      </c>
      <c r="M12" s="37" t="s">
        <v>76</v>
      </c>
      <c r="N12" s="47">
        <v>0.5</v>
      </c>
      <c r="O12" s="37" t="s">
        <v>76</v>
      </c>
      <c r="P12" s="66">
        <v>28</v>
      </c>
      <c r="Q12" s="43">
        <v>15</v>
      </c>
      <c r="R12" s="73">
        <v>1</v>
      </c>
      <c r="S12" s="53">
        <v>0</v>
      </c>
      <c r="T12" s="66"/>
      <c r="U12" s="66"/>
      <c r="V12" s="38" t="s">
        <v>146</v>
      </c>
      <c r="W12" s="66"/>
      <c r="X12" s="43"/>
      <c r="Y12" s="66"/>
      <c r="Z12" s="66"/>
      <c r="AA12" s="65" t="s">
        <v>123</v>
      </c>
      <c r="AB12" s="72">
        <v>0.1285</v>
      </c>
      <c r="AC12" s="71">
        <v>0.1285</v>
      </c>
      <c r="AD12" t="s">
        <v>346</v>
      </c>
    </row>
    <row r="13" spans="1:30" ht="18" customHeight="1" x14ac:dyDescent="0.3">
      <c r="A13" s="43" t="s">
        <v>248</v>
      </c>
      <c r="B13" s="43" t="s">
        <v>248</v>
      </c>
      <c r="C13" s="44" t="s">
        <v>249</v>
      </c>
      <c r="D13" s="43" t="s">
        <v>120</v>
      </c>
      <c r="E13" s="69" t="s">
        <v>110</v>
      </c>
      <c r="F13" s="69" t="s">
        <v>110</v>
      </c>
      <c r="G13" s="67"/>
      <c r="H13" s="36" t="s">
        <v>250</v>
      </c>
      <c r="I13" s="45"/>
      <c r="J13" s="80" t="s">
        <v>74</v>
      </c>
      <c r="K13" s="53" t="s">
        <v>251</v>
      </c>
      <c r="L13" s="47">
        <v>0.5</v>
      </c>
      <c r="M13" s="37" t="s">
        <v>76</v>
      </c>
      <c r="N13" s="47">
        <v>0.5</v>
      </c>
      <c r="O13" s="37" t="s">
        <v>252</v>
      </c>
      <c r="P13" s="43">
        <v>28</v>
      </c>
      <c r="Q13" s="43">
        <v>17</v>
      </c>
      <c r="R13" s="53">
        <v>1</v>
      </c>
      <c r="S13" s="53">
        <v>0</v>
      </c>
      <c r="T13" s="38"/>
      <c r="U13" s="38"/>
      <c r="V13" s="38"/>
      <c r="W13" s="38"/>
      <c r="X13" s="43"/>
      <c r="Y13" s="48"/>
      <c r="Z13" s="66"/>
      <c r="AA13" s="65"/>
      <c r="AB13" s="72"/>
      <c r="AC13" s="71"/>
      <c r="AD13" t="s">
        <v>352</v>
      </c>
    </row>
    <row r="14" spans="1:30" ht="18" customHeight="1" x14ac:dyDescent="0.3">
      <c r="A14" s="68" t="s">
        <v>211</v>
      </c>
      <c r="B14" s="68" t="s">
        <v>215</v>
      </c>
      <c r="C14" s="44"/>
      <c r="D14" s="68" t="s">
        <v>212</v>
      </c>
      <c r="E14" s="70" t="s">
        <v>110</v>
      </c>
      <c r="F14" s="70" t="s">
        <v>213</v>
      </c>
      <c r="G14" s="67"/>
      <c r="H14" s="72">
        <v>0.13800000000000001</v>
      </c>
      <c r="I14" s="45"/>
      <c r="J14" s="46" t="s">
        <v>74</v>
      </c>
      <c r="K14" s="37" t="s">
        <v>75</v>
      </c>
      <c r="L14" s="47">
        <v>0.3</v>
      </c>
      <c r="M14" s="37" t="s">
        <v>76</v>
      </c>
      <c r="N14" s="47">
        <v>0.3</v>
      </c>
      <c r="O14" s="37" t="s">
        <v>77</v>
      </c>
      <c r="P14" s="66">
        <v>10</v>
      </c>
      <c r="Q14" s="43">
        <v>10</v>
      </c>
      <c r="R14" s="73">
        <v>1</v>
      </c>
      <c r="S14" s="53">
        <v>0</v>
      </c>
      <c r="T14" s="66"/>
      <c r="U14" s="66"/>
      <c r="V14" s="38" t="s">
        <v>214</v>
      </c>
      <c r="W14" s="66"/>
      <c r="X14" s="43"/>
      <c r="Y14" s="66"/>
      <c r="Z14" s="66"/>
      <c r="AA14" s="65"/>
      <c r="AB14" s="87">
        <v>0.13800000000000001</v>
      </c>
      <c r="AC14" s="71">
        <v>0.13800000000000001</v>
      </c>
    </row>
    <row r="15" spans="1:30" ht="27.75" customHeight="1" x14ac:dyDescent="0.3">
      <c r="A15" s="68" t="s">
        <v>211</v>
      </c>
      <c r="B15" s="68" t="s">
        <v>216</v>
      </c>
      <c r="C15" s="44"/>
      <c r="D15" s="68" t="s">
        <v>212</v>
      </c>
      <c r="E15" s="70" t="s">
        <v>110</v>
      </c>
      <c r="F15" s="70" t="s">
        <v>213</v>
      </c>
      <c r="G15" s="67"/>
      <c r="H15" s="72">
        <v>0.13800000000000001</v>
      </c>
      <c r="I15" s="45"/>
      <c r="J15" s="46" t="s">
        <v>74</v>
      </c>
      <c r="K15" s="37" t="s">
        <v>75</v>
      </c>
      <c r="L15" s="47">
        <v>0.4</v>
      </c>
      <c r="M15" s="37" t="s">
        <v>76</v>
      </c>
      <c r="N15" s="47">
        <v>0.4</v>
      </c>
      <c r="O15" s="37" t="s">
        <v>77</v>
      </c>
      <c r="P15" s="66">
        <v>10</v>
      </c>
      <c r="Q15" s="43">
        <v>10</v>
      </c>
      <c r="R15" s="73">
        <v>1</v>
      </c>
      <c r="S15" s="53">
        <v>0</v>
      </c>
      <c r="T15" s="66"/>
      <c r="U15" s="66"/>
      <c r="V15" s="38" t="s">
        <v>214</v>
      </c>
      <c r="W15" s="66"/>
      <c r="X15" s="43"/>
      <c r="Y15" s="66"/>
      <c r="Z15" s="66"/>
      <c r="AA15" s="65"/>
      <c r="AB15" s="87">
        <v>0.13800000000000001</v>
      </c>
      <c r="AC15" s="71">
        <v>0.13800000000000001</v>
      </c>
    </row>
    <row r="16" spans="1:30" s="86" customFormat="1" ht="27.75" customHeight="1" x14ac:dyDescent="0.3">
      <c r="A16" s="43" t="s">
        <v>129</v>
      </c>
      <c r="B16" s="43" t="s">
        <v>130</v>
      </c>
      <c r="C16" s="44" t="s">
        <v>161</v>
      </c>
      <c r="D16" s="43" t="s">
        <v>120</v>
      </c>
      <c r="E16" s="69" t="s">
        <v>132</v>
      </c>
      <c r="F16" s="37" t="s">
        <v>131</v>
      </c>
      <c r="G16" s="67">
        <v>43252</v>
      </c>
      <c r="H16" s="36" t="s">
        <v>133</v>
      </c>
      <c r="I16" s="45">
        <v>4400000</v>
      </c>
      <c r="J16" s="46" t="s">
        <v>74</v>
      </c>
      <c r="K16" s="37" t="s">
        <v>75</v>
      </c>
      <c r="L16" s="47">
        <v>0.5</v>
      </c>
      <c r="M16" s="37" t="s">
        <v>76</v>
      </c>
      <c r="N16" s="47">
        <v>0.5</v>
      </c>
      <c r="O16" s="37" t="s">
        <v>76</v>
      </c>
      <c r="P16" s="43">
        <v>31</v>
      </c>
      <c r="Q16" s="43">
        <v>15</v>
      </c>
      <c r="R16" s="53">
        <v>1</v>
      </c>
      <c r="S16" s="53">
        <v>0</v>
      </c>
      <c r="T16" s="38"/>
      <c r="U16" s="38"/>
      <c r="V16" s="38" t="s">
        <v>149</v>
      </c>
      <c r="W16" s="38" t="s">
        <v>124</v>
      </c>
      <c r="X16" s="43"/>
      <c r="Y16" s="48">
        <v>42932</v>
      </c>
      <c r="Z16" s="66" t="s">
        <v>117</v>
      </c>
      <c r="AA16" s="65">
        <v>42979</v>
      </c>
      <c r="AB16" s="72">
        <v>0.152</v>
      </c>
      <c r="AC16" s="71">
        <v>0.158</v>
      </c>
      <c r="AD16"/>
    </row>
    <row r="17" spans="1:30" s="86" customFormat="1" ht="27.75" customHeight="1" x14ac:dyDescent="0.3">
      <c r="A17" s="43" t="s">
        <v>561</v>
      </c>
      <c r="B17" s="43" t="s">
        <v>561</v>
      </c>
      <c r="C17" s="44"/>
      <c r="D17" s="43"/>
      <c r="E17" s="69"/>
      <c r="F17" s="37"/>
      <c r="G17" s="67"/>
      <c r="H17" s="36"/>
      <c r="I17" s="45"/>
      <c r="J17" s="46"/>
      <c r="K17" s="37" t="s">
        <v>75</v>
      </c>
      <c r="L17" s="47">
        <v>0.45</v>
      </c>
      <c r="M17" s="37" t="s">
        <v>77</v>
      </c>
      <c r="N17" s="47">
        <v>0.45</v>
      </c>
      <c r="O17" s="37" t="s">
        <v>77</v>
      </c>
      <c r="P17" s="43">
        <v>20</v>
      </c>
      <c r="Q17" s="43">
        <v>17</v>
      </c>
      <c r="R17" s="53">
        <v>1</v>
      </c>
      <c r="S17" s="53"/>
      <c r="T17" s="38"/>
      <c r="U17" s="38"/>
      <c r="V17" s="38"/>
      <c r="W17" s="38"/>
      <c r="X17" s="43"/>
      <c r="Y17" s="48"/>
      <c r="Z17" s="66"/>
      <c r="AA17" s="65"/>
      <c r="AB17" s="72"/>
      <c r="AC17" s="71"/>
      <c r="AD17"/>
    </row>
    <row r="18" spans="1:30" ht="18" customHeight="1" x14ac:dyDescent="0.3">
      <c r="A18" s="68" t="s">
        <v>472</v>
      </c>
      <c r="B18" s="68" t="s">
        <v>472</v>
      </c>
      <c r="C18" s="44"/>
      <c r="D18" s="43"/>
      <c r="E18" s="69"/>
      <c r="F18" s="37"/>
      <c r="G18" s="67"/>
      <c r="H18" s="36"/>
      <c r="I18" s="45"/>
      <c r="J18" s="46"/>
      <c r="K18" s="37"/>
      <c r="L18" s="47">
        <v>0.5</v>
      </c>
      <c r="M18" s="37" t="s">
        <v>77</v>
      </c>
      <c r="N18" s="47">
        <v>0.5</v>
      </c>
      <c r="O18" s="37" t="s">
        <v>77</v>
      </c>
      <c r="P18" s="43">
        <v>28</v>
      </c>
      <c r="Q18" s="43">
        <v>15</v>
      </c>
      <c r="R18" s="53">
        <v>1</v>
      </c>
      <c r="S18" s="53"/>
      <c r="T18" s="38"/>
      <c r="U18" s="38"/>
      <c r="V18" s="38"/>
      <c r="W18" s="38"/>
      <c r="X18" s="43"/>
      <c r="Y18" s="48"/>
      <c r="Z18" s="66"/>
      <c r="AA18" s="65"/>
      <c r="AB18" s="72"/>
      <c r="AC18" s="71"/>
    </row>
    <row r="19" spans="1:30" ht="18" customHeight="1" x14ac:dyDescent="0.3">
      <c r="A19" s="43" t="s">
        <v>373</v>
      </c>
      <c r="B19" s="43" t="s">
        <v>373</v>
      </c>
      <c r="C19" s="44"/>
      <c r="D19" s="43" t="s">
        <v>123</v>
      </c>
      <c r="E19" s="69"/>
      <c r="F19" s="69"/>
      <c r="G19" s="67"/>
      <c r="H19" s="36"/>
      <c r="I19" s="45"/>
      <c r="J19" s="80" t="s">
        <v>74</v>
      </c>
      <c r="K19" s="53" t="s">
        <v>75</v>
      </c>
      <c r="L19" s="47">
        <v>0.5</v>
      </c>
      <c r="M19" s="37" t="s">
        <v>77</v>
      </c>
      <c r="N19" s="47">
        <v>0.5</v>
      </c>
      <c r="O19" s="37" t="s">
        <v>77</v>
      </c>
      <c r="P19" s="43">
        <v>25</v>
      </c>
      <c r="Q19" s="43">
        <v>15</v>
      </c>
      <c r="R19" s="53">
        <v>1</v>
      </c>
      <c r="S19" s="53">
        <v>0</v>
      </c>
      <c r="T19" s="38"/>
      <c r="U19" s="38"/>
      <c r="V19" s="38"/>
      <c r="W19" s="38"/>
      <c r="X19" s="43"/>
      <c r="Y19" s="48"/>
      <c r="Z19" s="66"/>
      <c r="AA19" s="65"/>
      <c r="AB19" s="72">
        <v>0.13500000000000001</v>
      </c>
      <c r="AC19" s="71">
        <v>0.14000000000000001</v>
      </c>
    </row>
    <row r="20" spans="1:30" ht="18" customHeight="1" x14ac:dyDescent="0.3">
      <c r="A20" s="43" t="s">
        <v>387</v>
      </c>
      <c r="B20" s="43" t="s">
        <v>387</v>
      </c>
      <c r="C20" s="44"/>
      <c r="D20" s="43" t="s">
        <v>123</v>
      </c>
      <c r="E20" s="69"/>
      <c r="F20" s="69"/>
      <c r="G20" s="67"/>
      <c r="H20" s="36"/>
      <c r="I20" s="45"/>
      <c r="J20" s="80" t="s">
        <v>74</v>
      </c>
      <c r="K20" s="53" t="s">
        <v>75</v>
      </c>
      <c r="L20" s="47">
        <v>0.5</v>
      </c>
      <c r="M20" s="37" t="s">
        <v>77</v>
      </c>
      <c r="N20" s="47">
        <v>0.5</v>
      </c>
      <c r="O20" s="37" t="s">
        <v>77</v>
      </c>
      <c r="P20" s="43">
        <v>20</v>
      </c>
      <c r="Q20" s="43">
        <v>15</v>
      </c>
      <c r="R20" s="53">
        <v>1</v>
      </c>
      <c r="S20" s="53">
        <v>0</v>
      </c>
      <c r="T20" s="38"/>
      <c r="U20" s="38"/>
      <c r="V20" s="38"/>
      <c r="W20" s="38"/>
      <c r="X20" s="43"/>
      <c r="Y20" s="48"/>
      <c r="Z20" s="66"/>
      <c r="AA20" s="65"/>
      <c r="AB20" s="72"/>
      <c r="AC20" s="71"/>
    </row>
    <row r="21" spans="1:30" ht="18" customHeight="1" x14ac:dyDescent="0.3">
      <c r="A21" s="43" t="s">
        <v>385</v>
      </c>
      <c r="B21" s="228" t="s">
        <v>385</v>
      </c>
      <c r="C21" s="44"/>
      <c r="D21" s="43" t="s">
        <v>189</v>
      </c>
      <c r="E21" s="69"/>
      <c r="F21" s="69"/>
      <c r="G21" s="67"/>
      <c r="H21" s="36"/>
      <c r="I21" s="45"/>
      <c r="J21" s="46"/>
      <c r="K21" s="37"/>
      <c r="L21" s="47">
        <v>0.5</v>
      </c>
      <c r="M21" s="37" t="s">
        <v>77</v>
      </c>
      <c r="N21" s="47">
        <v>0.5</v>
      </c>
      <c r="O21" s="37" t="s">
        <v>77</v>
      </c>
      <c r="P21" s="43">
        <v>20</v>
      </c>
      <c r="Q21" s="43">
        <v>15</v>
      </c>
      <c r="R21" s="53">
        <v>1</v>
      </c>
      <c r="S21" s="53">
        <v>0</v>
      </c>
      <c r="T21" s="66"/>
      <c r="U21" s="38"/>
      <c r="V21" s="38"/>
      <c r="W21" s="38"/>
      <c r="X21" s="43"/>
      <c r="Y21" s="48"/>
      <c r="Z21" s="64"/>
      <c r="AA21" s="65"/>
      <c r="AB21" s="87"/>
      <c r="AC21" s="71"/>
    </row>
    <row r="22" spans="1:30" ht="18" customHeight="1" x14ac:dyDescent="0.3">
      <c r="A22" s="43" t="s">
        <v>576</v>
      </c>
      <c r="B22" s="43" t="s">
        <v>576</v>
      </c>
      <c r="C22" s="44"/>
      <c r="D22" s="43"/>
      <c r="E22" s="69"/>
      <c r="F22" s="69"/>
      <c r="G22" s="67"/>
      <c r="H22" s="36"/>
      <c r="I22" s="45"/>
      <c r="J22" s="46"/>
      <c r="K22" s="37"/>
      <c r="L22" s="47">
        <v>0.5</v>
      </c>
      <c r="M22" s="37" t="s">
        <v>77</v>
      </c>
      <c r="N22" s="47">
        <v>0.5</v>
      </c>
      <c r="O22" s="37" t="s">
        <v>77</v>
      </c>
      <c r="P22" s="43">
        <v>20</v>
      </c>
      <c r="Q22" s="43">
        <v>10</v>
      </c>
      <c r="R22" s="53">
        <v>1</v>
      </c>
      <c r="S22" s="53"/>
      <c r="T22" s="66"/>
      <c r="U22" s="38"/>
      <c r="V22" s="38"/>
      <c r="W22" s="38"/>
      <c r="X22" s="43"/>
      <c r="Y22" s="48"/>
      <c r="Z22" s="64"/>
      <c r="AA22" s="65"/>
      <c r="AB22" s="87"/>
      <c r="AC22" s="71"/>
    </row>
    <row r="23" spans="1:30" ht="18" customHeight="1" x14ac:dyDescent="0.3">
      <c r="A23" s="43" t="s">
        <v>456</v>
      </c>
      <c r="B23" s="38" t="s">
        <v>457</v>
      </c>
      <c r="C23" s="44"/>
      <c r="D23" s="43"/>
      <c r="E23" s="69"/>
      <c r="F23" s="69"/>
      <c r="G23" s="67"/>
      <c r="H23" s="36"/>
      <c r="I23" s="45"/>
      <c r="J23" s="46"/>
      <c r="K23" s="37" t="s">
        <v>458</v>
      </c>
      <c r="L23" s="47">
        <v>0.5</v>
      </c>
      <c r="M23" s="37" t="s">
        <v>77</v>
      </c>
      <c r="N23" s="47">
        <v>0.5</v>
      </c>
      <c r="O23" s="37" t="s">
        <v>77</v>
      </c>
      <c r="P23" s="43">
        <v>28</v>
      </c>
      <c r="Q23" s="43">
        <v>15</v>
      </c>
      <c r="R23" s="53">
        <v>1</v>
      </c>
      <c r="S23" s="53">
        <v>0</v>
      </c>
      <c r="T23" s="66"/>
      <c r="U23" s="38"/>
      <c r="V23" s="38"/>
      <c r="W23" s="38"/>
      <c r="X23" s="43"/>
      <c r="Y23" s="48"/>
      <c r="Z23" s="64"/>
      <c r="AA23" s="65"/>
      <c r="AB23" s="87"/>
      <c r="AC23" s="71"/>
    </row>
    <row r="24" spans="1:30" ht="18" customHeight="1" x14ac:dyDescent="0.3">
      <c r="A24" s="43" t="s">
        <v>366</v>
      </c>
      <c r="B24" s="43" t="s">
        <v>367</v>
      </c>
      <c r="C24" s="44"/>
      <c r="D24" s="43" t="s">
        <v>189</v>
      </c>
      <c r="E24" s="69" t="s">
        <v>184</v>
      </c>
      <c r="F24" s="69" t="s">
        <v>184</v>
      </c>
      <c r="G24" s="67"/>
      <c r="H24" s="36" t="s">
        <v>190</v>
      </c>
      <c r="I24" s="45"/>
      <c r="J24" s="46" t="s">
        <v>74</v>
      </c>
      <c r="K24" s="37" t="s">
        <v>75</v>
      </c>
      <c r="L24" s="47">
        <v>0.5</v>
      </c>
      <c r="M24" s="37" t="s">
        <v>76</v>
      </c>
      <c r="N24" s="47">
        <v>0.5</v>
      </c>
      <c r="O24" s="37" t="s">
        <v>191</v>
      </c>
      <c r="P24" s="43">
        <v>25</v>
      </c>
      <c r="Q24" s="43">
        <v>15</v>
      </c>
      <c r="R24" s="53">
        <v>1</v>
      </c>
      <c r="S24" s="53">
        <v>0</v>
      </c>
      <c r="T24" s="66" t="s">
        <v>102</v>
      </c>
      <c r="U24" s="38"/>
      <c r="V24" s="38" t="s">
        <v>156</v>
      </c>
      <c r="W24" s="38"/>
      <c r="X24" s="43"/>
      <c r="Y24" s="48"/>
      <c r="Z24" s="64"/>
      <c r="AA24" s="65"/>
      <c r="AB24" s="87">
        <v>0.13500000000000001</v>
      </c>
      <c r="AC24" s="71">
        <v>0.13750000000000001</v>
      </c>
    </row>
    <row r="25" spans="1:30" ht="18" customHeight="1" x14ac:dyDescent="0.3">
      <c r="A25" s="43" t="s">
        <v>374</v>
      </c>
      <c r="B25" s="43" t="s">
        <v>489</v>
      </c>
      <c r="C25" s="44"/>
      <c r="D25" s="43"/>
      <c r="E25" s="69"/>
      <c r="F25" s="69"/>
      <c r="G25" s="67"/>
      <c r="H25" s="36"/>
      <c r="I25" s="45"/>
      <c r="J25" s="46" t="s">
        <v>74</v>
      </c>
      <c r="K25" s="37" t="s">
        <v>491</v>
      </c>
      <c r="L25" s="47">
        <v>0.4</v>
      </c>
      <c r="M25" s="37" t="s">
        <v>77</v>
      </c>
      <c r="N25" s="47">
        <v>0.4</v>
      </c>
      <c r="O25" s="37" t="s">
        <v>191</v>
      </c>
      <c r="P25" s="43">
        <v>20</v>
      </c>
      <c r="Q25" s="43">
        <v>15</v>
      </c>
      <c r="R25" s="53">
        <v>1</v>
      </c>
      <c r="S25" s="53">
        <v>0</v>
      </c>
      <c r="T25" s="66" t="s">
        <v>102</v>
      </c>
      <c r="U25" s="38"/>
      <c r="V25" s="38" t="s">
        <v>156</v>
      </c>
      <c r="W25" s="38"/>
      <c r="X25" s="43"/>
      <c r="Y25" s="48"/>
      <c r="Z25" s="64"/>
      <c r="AA25" s="65"/>
      <c r="AB25" s="87">
        <v>0.13500000000000001</v>
      </c>
      <c r="AC25" s="71">
        <v>0.13750000000000001</v>
      </c>
    </row>
    <row r="26" spans="1:30" ht="18" customHeight="1" x14ac:dyDescent="0.3">
      <c r="A26" s="43" t="s">
        <v>374</v>
      </c>
      <c r="B26" s="43" t="s">
        <v>490</v>
      </c>
      <c r="C26" s="44"/>
      <c r="D26" s="43"/>
      <c r="E26" s="69"/>
      <c r="F26" s="69"/>
      <c r="G26" s="67"/>
      <c r="H26" s="36"/>
      <c r="I26" s="45"/>
      <c r="J26" s="46" t="s">
        <v>74</v>
      </c>
      <c r="K26" s="37" t="s">
        <v>75</v>
      </c>
      <c r="L26" s="47">
        <v>0.48</v>
      </c>
      <c r="M26" s="37" t="s">
        <v>77</v>
      </c>
      <c r="N26" s="47">
        <v>0.48</v>
      </c>
      <c r="O26" s="37" t="s">
        <v>191</v>
      </c>
      <c r="P26" s="43">
        <v>20</v>
      </c>
      <c r="Q26" s="43">
        <v>15</v>
      </c>
      <c r="R26" s="53">
        <v>1</v>
      </c>
      <c r="S26" s="53">
        <v>0</v>
      </c>
      <c r="T26" s="66" t="s">
        <v>102</v>
      </c>
      <c r="U26" s="38"/>
      <c r="V26" s="38" t="s">
        <v>156</v>
      </c>
      <c r="W26" s="38"/>
      <c r="X26" s="43"/>
      <c r="Y26" s="48"/>
      <c r="Z26" s="64"/>
      <c r="AA26" s="65"/>
      <c r="AB26" s="87">
        <v>0.13500000000000001</v>
      </c>
      <c r="AC26" s="71">
        <v>0.13750000000000001</v>
      </c>
    </row>
    <row r="27" spans="1:30" ht="18" customHeight="1" x14ac:dyDescent="0.3">
      <c r="A27" s="43" t="s">
        <v>465</v>
      </c>
      <c r="B27" s="43" t="s">
        <v>495</v>
      </c>
      <c r="C27" s="44"/>
      <c r="D27" s="43"/>
      <c r="E27" s="69"/>
      <c r="F27" s="69"/>
      <c r="G27" s="67"/>
      <c r="H27" s="36"/>
      <c r="I27" s="45"/>
      <c r="J27" s="46"/>
      <c r="K27" s="37"/>
      <c r="L27" s="47">
        <v>0.42</v>
      </c>
      <c r="M27" s="37" t="s">
        <v>77</v>
      </c>
      <c r="N27" s="47">
        <v>0.42</v>
      </c>
      <c r="O27" s="37" t="s">
        <v>77</v>
      </c>
      <c r="P27" s="43">
        <v>20</v>
      </c>
      <c r="Q27" s="43">
        <v>10</v>
      </c>
      <c r="R27" s="53">
        <v>1</v>
      </c>
      <c r="S27" s="53"/>
      <c r="T27" s="66"/>
      <c r="U27" s="38"/>
      <c r="V27" s="38"/>
      <c r="W27" s="38"/>
      <c r="X27" s="43"/>
      <c r="Y27" s="48"/>
      <c r="Z27" s="64"/>
      <c r="AA27" s="65"/>
      <c r="AB27" s="87"/>
      <c r="AC27" s="71"/>
    </row>
    <row r="28" spans="1:30" ht="18" customHeight="1" x14ac:dyDescent="0.3">
      <c r="A28" s="43" t="s">
        <v>465</v>
      </c>
      <c r="B28" s="43" t="s">
        <v>494</v>
      </c>
      <c r="C28" s="44"/>
      <c r="D28" s="43"/>
      <c r="E28" s="69"/>
      <c r="F28" s="69"/>
      <c r="G28" s="67"/>
      <c r="H28" s="36"/>
      <c r="I28" s="45"/>
      <c r="J28" s="46"/>
      <c r="K28" s="37"/>
      <c r="L28" s="47">
        <v>0.5</v>
      </c>
      <c r="M28" s="37" t="s">
        <v>77</v>
      </c>
      <c r="N28" s="47">
        <v>0.5</v>
      </c>
      <c r="O28" s="37" t="s">
        <v>77</v>
      </c>
      <c r="P28" s="43">
        <v>20</v>
      </c>
      <c r="Q28" s="43">
        <v>10</v>
      </c>
      <c r="R28" s="53">
        <v>1</v>
      </c>
      <c r="S28" s="53"/>
      <c r="T28" s="66"/>
      <c r="U28" s="38"/>
      <c r="V28" s="38"/>
      <c r="W28" s="38"/>
      <c r="X28" s="43"/>
      <c r="Y28" s="48"/>
      <c r="Z28" s="64"/>
      <c r="AA28" s="65"/>
      <c r="AB28" s="87"/>
      <c r="AC28" s="71"/>
    </row>
    <row r="29" spans="1:30" ht="18" customHeight="1" x14ac:dyDescent="0.3">
      <c r="A29" s="68" t="s">
        <v>200</v>
      </c>
      <c r="B29" s="43" t="s">
        <v>290</v>
      </c>
      <c r="C29" s="44"/>
      <c r="D29" s="68"/>
      <c r="E29" s="70"/>
      <c r="F29" s="70"/>
      <c r="G29" s="67"/>
      <c r="H29" s="36" t="s">
        <v>201</v>
      </c>
      <c r="I29" s="45">
        <v>4500000</v>
      </c>
      <c r="J29" s="46" t="s">
        <v>74</v>
      </c>
      <c r="K29" s="37" t="s">
        <v>75</v>
      </c>
      <c r="L29" s="165">
        <v>0.45</v>
      </c>
      <c r="M29" s="37" t="s">
        <v>76</v>
      </c>
      <c r="N29" s="165">
        <v>0.45</v>
      </c>
      <c r="O29" s="37" t="s">
        <v>77</v>
      </c>
      <c r="P29" s="66">
        <v>22</v>
      </c>
      <c r="Q29" s="43">
        <v>17</v>
      </c>
      <c r="R29" s="73">
        <v>1</v>
      </c>
      <c r="S29" s="53">
        <v>0</v>
      </c>
      <c r="T29" s="66"/>
      <c r="U29" s="66"/>
      <c r="V29" s="38" t="s">
        <v>156</v>
      </c>
      <c r="W29" s="66"/>
      <c r="X29" s="43"/>
      <c r="Y29" s="66"/>
      <c r="Z29" s="66"/>
      <c r="AA29" s="65"/>
      <c r="AB29" s="87">
        <v>0.125</v>
      </c>
      <c r="AC29" s="71">
        <v>0.1275</v>
      </c>
    </row>
    <row r="30" spans="1:30" ht="18" customHeight="1" x14ac:dyDescent="0.3">
      <c r="A30" s="68" t="s">
        <v>527</v>
      </c>
      <c r="B30" s="43" t="s">
        <v>528</v>
      </c>
      <c r="C30" s="44"/>
      <c r="D30" s="68"/>
      <c r="E30" s="70"/>
      <c r="F30" s="70"/>
      <c r="G30" s="67"/>
      <c r="H30" s="36" t="s">
        <v>201</v>
      </c>
      <c r="I30" s="45">
        <v>4500000</v>
      </c>
      <c r="J30" s="46" t="s">
        <v>74</v>
      </c>
      <c r="K30" s="37" t="s">
        <v>75</v>
      </c>
      <c r="L30" s="165">
        <v>0.5</v>
      </c>
      <c r="M30" s="37" t="s">
        <v>77</v>
      </c>
      <c r="N30" s="165">
        <v>0.5</v>
      </c>
      <c r="O30" s="37" t="s">
        <v>77</v>
      </c>
      <c r="P30" s="66">
        <v>20</v>
      </c>
      <c r="Q30" s="43">
        <v>10</v>
      </c>
      <c r="R30" s="73">
        <v>1</v>
      </c>
      <c r="S30" s="53">
        <v>0</v>
      </c>
      <c r="T30" s="66"/>
      <c r="U30" s="66"/>
      <c r="V30" s="38" t="s">
        <v>156</v>
      </c>
      <c r="W30" s="66"/>
      <c r="X30" s="43"/>
      <c r="Y30" s="66"/>
      <c r="Z30" s="66"/>
      <c r="AA30" s="65"/>
      <c r="AB30" s="87">
        <v>0.125</v>
      </c>
      <c r="AC30" s="71">
        <v>0.1275</v>
      </c>
    </row>
    <row r="31" spans="1:30" ht="18" customHeight="1" x14ac:dyDescent="0.3">
      <c r="A31" s="43" t="s">
        <v>569</v>
      </c>
      <c r="B31" s="43" t="s">
        <v>570</v>
      </c>
      <c r="C31" s="44"/>
      <c r="D31" s="68"/>
      <c r="E31" s="70"/>
      <c r="F31" s="70"/>
      <c r="G31" s="67"/>
      <c r="H31" s="36"/>
      <c r="I31" s="45"/>
      <c r="J31" s="46"/>
      <c r="K31" s="37"/>
      <c r="L31" s="165">
        <v>0.5</v>
      </c>
      <c r="M31" s="37" t="s">
        <v>77</v>
      </c>
      <c r="N31" s="165">
        <v>0.5</v>
      </c>
      <c r="O31" s="37" t="s">
        <v>77</v>
      </c>
      <c r="P31" s="66">
        <v>25</v>
      </c>
      <c r="Q31" s="43">
        <v>17</v>
      </c>
      <c r="R31" s="73">
        <v>1</v>
      </c>
      <c r="S31" s="53"/>
      <c r="T31" s="66"/>
      <c r="U31" s="66"/>
      <c r="V31" s="38"/>
      <c r="W31" s="66"/>
      <c r="X31" s="43"/>
      <c r="Y31" s="66"/>
      <c r="Z31" s="66"/>
      <c r="AA31" s="65"/>
      <c r="AB31" s="87"/>
      <c r="AC31" s="71"/>
    </row>
    <row r="32" spans="1:30" ht="18" customHeight="1" x14ac:dyDescent="0.3">
      <c r="A32" s="43" t="s">
        <v>479</v>
      </c>
      <c r="B32" s="43" t="s">
        <v>485</v>
      </c>
      <c r="C32" s="44"/>
      <c r="D32" s="43"/>
      <c r="E32" s="69"/>
      <c r="F32" s="69"/>
      <c r="G32" s="67"/>
      <c r="H32" s="36"/>
      <c r="I32" s="45"/>
      <c r="J32" s="46"/>
      <c r="K32" s="37"/>
      <c r="L32" s="47">
        <v>0.42</v>
      </c>
      <c r="M32" s="37" t="s">
        <v>77</v>
      </c>
      <c r="N32" s="47">
        <v>0.42</v>
      </c>
      <c r="O32" s="37" t="s">
        <v>77</v>
      </c>
      <c r="P32" s="43">
        <v>25</v>
      </c>
      <c r="Q32" s="43">
        <v>15</v>
      </c>
      <c r="R32" s="53">
        <v>1</v>
      </c>
      <c r="S32" s="53"/>
      <c r="T32" s="66"/>
      <c r="U32" s="38"/>
      <c r="V32" s="38"/>
      <c r="W32" s="38"/>
      <c r="X32" s="43"/>
      <c r="Y32" s="48"/>
      <c r="Z32" s="64"/>
      <c r="AA32" s="65"/>
      <c r="AB32" s="87"/>
      <c r="AC32" s="71"/>
    </row>
    <row r="33" spans="1:33" ht="18" customHeight="1" x14ac:dyDescent="0.3">
      <c r="A33" s="43" t="s">
        <v>479</v>
      </c>
      <c r="B33" s="43" t="s">
        <v>486</v>
      </c>
      <c r="C33" s="44"/>
      <c r="D33" s="43"/>
      <c r="E33" s="69"/>
      <c r="F33" s="69"/>
      <c r="G33" s="67"/>
      <c r="H33" s="36"/>
      <c r="I33" s="45"/>
      <c r="J33" s="46"/>
      <c r="K33" s="37"/>
      <c r="L33" s="47">
        <v>0.5</v>
      </c>
      <c r="M33" s="37" t="s">
        <v>77</v>
      </c>
      <c r="N33" s="47">
        <v>0.5</v>
      </c>
      <c r="O33" s="37" t="s">
        <v>77</v>
      </c>
      <c r="P33" s="43">
        <v>25</v>
      </c>
      <c r="Q33" s="43">
        <v>15</v>
      </c>
      <c r="R33" s="53">
        <v>1</v>
      </c>
      <c r="S33" s="53"/>
      <c r="T33" s="66"/>
      <c r="U33" s="38"/>
      <c r="V33" s="38"/>
      <c r="W33" s="38"/>
      <c r="X33" s="43"/>
      <c r="Y33" s="48"/>
      <c r="Z33" s="64"/>
      <c r="AA33" s="65"/>
      <c r="AB33" s="87"/>
      <c r="AC33" s="71"/>
    </row>
    <row r="34" spans="1:33" ht="18" customHeight="1" x14ac:dyDescent="0.3">
      <c r="A34" s="43" t="s">
        <v>314</v>
      </c>
      <c r="B34" s="43" t="s">
        <v>315</v>
      </c>
      <c r="C34" s="44"/>
      <c r="D34" s="43"/>
      <c r="E34" s="69"/>
      <c r="F34" s="69"/>
      <c r="G34" s="67"/>
      <c r="H34" s="36"/>
      <c r="I34" s="45"/>
      <c r="J34" s="46"/>
      <c r="K34" s="37"/>
      <c r="L34" s="47">
        <v>0.5</v>
      </c>
      <c r="M34" s="37" t="s">
        <v>76</v>
      </c>
      <c r="N34" s="47">
        <v>0.5</v>
      </c>
      <c r="O34" s="37" t="s">
        <v>191</v>
      </c>
      <c r="P34" s="43">
        <v>28</v>
      </c>
      <c r="Q34" s="43">
        <v>15</v>
      </c>
      <c r="R34" s="53">
        <v>1</v>
      </c>
      <c r="S34" s="53">
        <v>0</v>
      </c>
      <c r="T34" s="66"/>
      <c r="U34" s="38"/>
      <c r="V34" s="38"/>
      <c r="W34" s="38"/>
      <c r="X34" s="43"/>
      <c r="Y34" s="48"/>
      <c r="Z34" s="64"/>
      <c r="AA34" s="65"/>
      <c r="AB34" s="87"/>
      <c r="AC34" s="71"/>
    </row>
    <row r="35" spans="1:33" ht="18" customHeight="1" x14ac:dyDescent="0.3">
      <c r="A35" s="43" t="s">
        <v>323</v>
      </c>
      <c r="B35" s="43" t="s">
        <v>324</v>
      </c>
      <c r="C35" s="44"/>
      <c r="D35" s="43"/>
      <c r="E35" s="69"/>
      <c r="F35" s="69"/>
      <c r="G35" s="67"/>
      <c r="H35" s="36"/>
      <c r="I35" s="45"/>
      <c r="J35" s="46"/>
      <c r="K35" s="37"/>
      <c r="L35" s="47">
        <v>0.47</v>
      </c>
      <c r="M35" s="37" t="s">
        <v>76</v>
      </c>
      <c r="N35" s="47">
        <v>0.47</v>
      </c>
      <c r="O35" s="37" t="s">
        <v>191</v>
      </c>
      <c r="P35" s="43">
        <v>28</v>
      </c>
      <c r="Q35" s="43">
        <v>15</v>
      </c>
      <c r="R35" s="53">
        <v>1</v>
      </c>
      <c r="S35" s="53">
        <v>0</v>
      </c>
      <c r="T35" s="66"/>
      <c r="U35" s="38"/>
      <c r="V35" s="38"/>
      <c r="W35" s="38"/>
      <c r="X35" s="43"/>
      <c r="Y35" s="48"/>
      <c r="Z35" s="64"/>
      <c r="AA35" s="65"/>
      <c r="AB35" s="87"/>
      <c r="AC35" s="71"/>
    </row>
    <row r="36" spans="1:33" ht="18" customHeight="1" x14ac:dyDescent="0.3">
      <c r="A36" s="43" t="s">
        <v>300</v>
      </c>
      <c r="B36" s="43" t="s">
        <v>301</v>
      </c>
      <c r="C36" s="44"/>
      <c r="D36" s="43"/>
      <c r="E36" s="69"/>
      <c r="F36" s="69"/>
      <c r="G36" s="67"/>
      <c r="H36" s="36"/>
      <c r="I36" s="45"/>
      <c r="J36" s="46"/>
      <c r="K36" s="37"/>
      <c r="L36" s="47">
        <v>0.5</v>
      </c>
      <c r="M36" s="37" t="s">
        <v>76</v>
      </c>
      <c r="N36" s="47">
        <v>0.5</v>
      </c>
      <c r="O36" s="37" t="s">
        <v>191</v>
      </c>
      <c r="P36" s="43">
        <v>28</v>
      </c>
      <c r="Q36" s="43">
        <v>15</v>
      </c>
      <c r="R36" s="53">
        <v>1</v>
      </c>
      <c r="S36" s="53">
        <v>0</v>
      </c>
      <c r="T36" s="66"/>
      <c r="U36" s="38"/>
      <c r="V36" s="38"/>
      <c r="W36" s="38"/>
      <c r="X36" s="43"/>
      <c r="Y36" s="48"/>
      <c r="Z36" s="64"/>
      <c r="AA36" s="65"/>
      <c r="AB36" s="87"/>
      <c r="AC36" s="71"/>
    </row>
    <row r="37" spans="1:33" x14ac:dyDescent="0.3">
      <c r="A37" s="68" t="s">
        <v>217</v>
      </c>
      <c r="B37" s="68" t="s">
        <v>217</v>
      </c>
      <c r="C37" s="44"/>
      <c r="D37" s="68" t="s">
        <v>120</v>
      </c>
      <c r="E37" s="70" t="s">
        <v>110</v>
      </c>
      <c r="F37" s="70"/>
      <c r="G37" s="67"/>
      <c r="H37" s="36" t="s">
        <v>73</v>
      </c>
      <c r="I37" s="45"/>
      <c r="J37" s="46" t="s">
        <v>74</v>
      </c>
      <c r="K37" s="37" t="s">
        <v>75</v>
      </c>
      <c r="L37" s="47">
        <v>0.5</v>
      </c>
      <c r="M37" s="37" t="s">
        <v>76</v>
      </c>
      <c r="N37" s="47">
        <v>0.5</v>
      </c>
      <c r="O37" s="37" t="s">
        <v>77</v>
      </c>
      <c r="P37" s="66">
        <v>20</v>
      </c>
      <c r="Q37" s="43">
        <v>10</v>
      </c>
      <c r="R37" s="73">
        <v>1</v>
      </c>
      <c r="S37" s="53">
        <v>0</v>
      </c>
      <c r="T37" s="66"/>
      <c r="U37" s="66"/>
      <c r="V37" s="38" t="s">
        <v>148</v>
      </c>
      <c r="W37" s="66"/>
      <c r="X37" s="43"/>
      <c r="Y37" s="66"/>
      <c r="Z37" s="66"/>
      <c r="AA37" s="65"/>
      <c r="AB37" s="87">
        <v>0.13500000000000001</v>
      </c>
      <c r="AC37" s="71">
        <v>0.14000000000000001</v>
      </c>
    </row>
    <row r="38" spans="1:33" ht="18" customHeight="1" x14ac:dyDescent="0.3">
      <c r="A38" s="43" t="s">
        <v>306</v>
      </c>
      <c r="B38" s="43" t="s">
        <v>306</v>
      </c>
      <c r="C38" s="44"/>
      <c r="D38" s="43"/>
      <c r="E38" s="69"/>
      <c r="F38" s="69"/>
      <c r="G38" s="67"/>
      <c r="H38" s="36"/>
      <c r="I38" s="45"/>
      <c r="J38" s="46"/>
      <c r="K38" s="37"/>
      <c r="L38" s="47">
        <v>0.4</v>
      </c>
      <c r="M38" s="37" t="s">
        <v>76</v>
      </c>
      <c r="N38" s="47">
        <v>0.4</v>
      </c>
      <c r="O38" s="37" t="s">
        <v>76</v>
      </c>
      <c r="P38" s="43">
        <v>28</v>
      </c>
      <c r="Q38" s="43">
        <v>15</v>
      </c>
      <c r="R38" s="53">
        <v>1</v>
      </c>
      <c r="S38" s="53">
        <v>0</v>
      </c>
      <c r="T38" s="66"/>
      <c r="U38" s="38"/>
      <c r="V38" s="38"/>
      <c r="W38" s="38"/>
      <c r="X38" s="43"/>
      <c r="Y38" s="48"/>
      <c r="Z38" s="64"/>
      <c r="AA38" s="65"/>
      <c r="AB38" s="87"/>
      <c r="AC38" s="71"/>
    </row>
    <row r="39" spans="1:33" ht="41.4" x14ac:dyDescent="0.3">
      <c r="A39" s="43" t="s">
        <v>119</v>
      </c>
      <c r="B39" s="43" t="s">
        <v>334</v>
      </c>
      <c r="C39" s="44" t="s">
        <v>160</v>
      </c>
      <c r="D39" s="43" t="s">
        <v>70</v>
      </c>
      <c r="E39" s="69" t="s">
        <v>71</v>
      </c>
      <c r="F39" s="37" t="s">
        <v>125</v>
      </c>
      <c r="G39" s="67"/>
      <c r="H39" s="36" t="s">
        <v>114</v>
      </c>
      <c r="I39" s="45"/>
      <c r="J39" s="46" t="s">
        <v>74</v>
      </c>
      <c r="K39" s="37" t="s">
        <v>75</v>
      </c>
      <c r="L39" s="47">
        <v>0.47</v>
      </c>
      <c r="M39" s="37" t="s">
        <v>76</v>
      </c>
      <c r="N39" s="47">
        <v>0.47</v>
      </c>
      <c r="O39" s="37" t="s">
        <v>77</v>
      </c>
      <c r="P39" s="43">
        <v>1</v>
      </c>
      <c r="Q39" s="43">
        <v>15</v>
      </c>
      <c r="R39" s="53">
        <v>2</v>
      </c>
      <c r="S39" s="53">
        <v>0</v>
      </c>
      <c r="T39" s="38"/>
      <c r="U39" s="38"/>
      <c r="V39" s="38" t="s">
        <v>146</v>
      </c>
      <c r="W39" s="38" t="s">
        <v>79</v>
      </c>
      <c r="X39" s="43"/>
      <c r="Y39" s="48"/>
      <c r="Z39" s="66"/>
      <c r="AA39" s="65"/>
      <c r="AB39" s="200">
        <v>0.15</v>
      </c>
      <c r="AC39" s="71">
        <v>0.155</v>
      </c>
      <c r="AG39" s="36"/>
    </row>
    <row r="40" spans="1:33" x14ac:dyDescent="0.3">
      <c r="A40" s="43" t="s">
        <v>192</v>
      </c>
      <c r="B40" s="43" t="s">
        <v>192</v>
      </c>
      <c r="C40" s="44"/>
      <c r="D40" s="43" t="s">
        <v>123</v>
      </c>
      <c r="E40" s="69" t="s">
        <v>195</v>
      </c>
      <c r="F40" s="37"/>
      <c r="G40" s="67"/>
      <c r="H40" s="36" t="s">
        <v>196</v>
      </c>
      <c r="I40" s="45"/>
      <c r="J40" s="46" t="s">
        <v>74</v>
      </c>
      <c r="K40" s="37" t="s">
        <v>75</v>
      </c>
      <c r="L40" s="165">
        <v>0.47</v>
      </c>
      <c r="M40" s="37" t="s">
        <v>76</v>
      </c>
      <c r="N40" s="165">
        <v>0.47</v>
      </c>
      <c r="O40" s="37" t="s">
        <v>77</v>
      </c>
      <c r="P40" s="164">
        <v>23</v>
      </c>
      <c r="Q40" s="43">
        <v>15</v>
      </c>
      <c r="R40" s="53">
        <v>1</v>
      </c>
      <c r="S40" s="53">
        <v>0</v>
      </c>
      <c r="T40" s="38"/>
      <c r="U40" s="38"/>
      <c r="V40" s="38" t="s">
        <v>148</v>
      </c>
      <c r="W40" s="38" t="s">
        <v>79</v>
      </c>
      <c r="X40" s="43"/>
      <c r="Y40" s="48"/>
      <c r="Z40" s="66"/>
      <c r="AA40" s="65"/>
      <c r="AB40" s="199">
        <v>0.125</v>
      </c>
      <c r="AC40" s="71">
        <v>0.128</v>
      </c>
      <c r="AD40" s="71"/>
      <c r="AG40" s="88"/>
    </row>
    <row r="41" spans="1:33" x14ac:dyDescent="0.3">
      <c r="A41" s="68" t="s">
        <v>218</v>
      </c>
      <c r="B41" s="68" t="s">
        <v>218</v>
      </c>
      <c r="C41" s="44"/>
      <c r="D41" s="68" t="s">
        <v>123</v>
      </c>
      <c r="E41" s="70" t="s">
        <v>106</v>
      </c>
      <c r="F41" s="70"/>
      <c r="G41" s="67"/>
      <c r="H41" s="72" t="s">
        <v>219</v>
      </c>
      <c r="I41" s="45"/>
      <c r="J41" s="46" t="s">
        <v>74</v>
      </c>
      <c r="K41" s="37" t="s">
        <v>75</v>
      </c>
      <c r="L41" s="165">
        <v>0.47</v>
      </c>
      <c r="M41" s="37" t="s">
        <v>76</v>
      </c>
      <c r="N41" s="165">
        <v>0.47</v>
      </c>
      <c r="O41" s="37" t="s">
        <v>77</v>
      </c>
      <c r="P41" s="166">
        <v>25</v>
      </c>
      <c r="Q41" s="43">
        <v>10</v>
      </c>
      <c r="R41" s="73">
        <v>1</v>
      </c>
      <c r="S41" s="53">
        <v>0</v>
      </c>
      <c r="T41" s="66"/>
      <c r="U41" s="66"/>
      <c r="V41" s="38" t="s">
        <v>148</v>
      </c>
      <c r="W41" s="66"/>
      <c r="X41" s="43"/>
      <c r="Y41" s="66"/>
      <c r="Z41" s="66"/>
      <c r="AA41" s="65"/>
      <c r="AB41" s="71" t="s">
        <v>220</v>
      </c>
      <c r="AC41" s="71" t="s">
        <v>220</v>
      </c>
      <c r="AG41" s="88"/>
    </row>
    <row r="42" spans="1:33" ht="27.6" x14ac:dyDescent="0.3">
      <c r="A42" s="43" t="s">
        <v>369</v>
      </c>
      <c r="B42" s="43" t="s">
        <v>369</v>
      </c>
      <c r="C42" s="44"/>
      <c r="D42" s="43" t="s">
        <v>363</v>
      </c>
      <c r="E42" s="69" t="s">
        <v>110</v>
      </c>
      <c r="F42" s="37" t="s">
        <v>126</v>
      </c>
      <c r="G42" s="67"/>
      <c r="H42" s="36"/>
      <c r="I42" s="45"/>
      <c r="J42" s="46"/>
      <c r="K42" s="37"/>
      <c r="L42" s="47">
        <v>0.5</v>
      </c>
      <c r="M42" s="37" t="s">
        <v>76</v>
      </c>
      <c r="N42" s="47">
        <v>0.5</v>
      </c>
      <c r="O42" s="37" t="s">
        <v>76</v>
      </c>
      <c r="P42" s="43">
        <v>20</v>
      </c>
      <c r="Q42" s="43">
        <v>15</v>
      </c>
      <c r="R42" s="53">
        <v>1</v>
      </c>
      <c r="S42" s="53">
        <v>0</v>
      </c>
      <c r="T42" s="38"/>
      <c r="U42" s="38"/>
      <c r="V42" s="38" t="s">
        <v>148</v>
      </c>
      <c r="W42" s="38" t="s">
        <v>124</v>
      </c>
      <c r="X42" s="43"/>
      <c r="Y42" s="48"/>
      <c r="Z42" s="66"/>
      <c r="AA42" s="65"/>
      <c r="AB42" s="199">
        <v>0.125</v>
      </c>
      <c r="AC42" s="71">
        <v>0.13</v>
      </c>
      <c r="AG42" s="88"/>
    </row>
    <row r="43" spans="1:33" ht="41.4" x14ac:dyDescent="0.3">
      <c r="A43" s="43" t="s">
        <v>245</v>
      </c>
      <c r="B43" s="43" t="s">
        <v>297</v>
      </c>
      <c r="C43" s="44" t="s">
        <v>246</v>
      </c>
      <c r="D43" s="43" t="s">
        <v>70</v>
      </c>
      <c r="E43" s="69" t="s">
        <v>71</v>
      </c>
      <c r="F43" s="37" t="s">
        <v>125</v>
      </c>
      <c r="G43" s="67"/>
      <c r="H43" s="36" t="s">
        <v>247</v>
      </c>
      <c r="I43" s="45"/>
      <c r="J43" s="46" t="s">
        <v>74</v>
      </c>
      <c r="K43" s="37" t="s">
        <v>75</v>
      </c>
      <c r="L43" s="47">
        <v>0.4</v>
      </c>
      <c r="M43" s="37" t="s">
        <v>76</v>
      </c>
      <c r="N43" s="47">
        <v>0.4</v>
      </c>
      <c r="O43" s="37" t="s">
        <v>77</v>
      </c>
      <c r="P43" s="43">
        <v>28</v>
      </c>
      <c r="Q43" s="43">
        <v>15</v>
      </c>
      <c r="R43" s="53">
        <v>1</v>
      </c>
      <c r="S43" s="53">
        <v>0</v>
      </c>
      <c r="T43" s="38"/>
      <c r="U43" s="38"/>
      <c r="V43" s="38" t="s">
        <v>146</v>
      </c>
      <c r="W43" s="38" t="s">
        <v>79</v>
      </c>
      <c r="X43" s="43"/>
      <c r="Y43" s="48"/>
      <c r="Z43" s="66"/>
      <c r="AA43" s="65"/>
      <c r="AB43" s="200">
        <v>0.11749999999999999</v>
      </c>
      <c r="AC43" s="71">
        <v>0.12</v>
      </c>
      <c r="AG43" s="88"/>
    </row>
    <row r="44" spans="1:33" x14ac:dyDescent="0.3">
      <c r="A44" s="76" t="s">
        <v>336</v>
      </c>
      <c r="B44" s="76" t="s">
        <v>336</v>
      </c>
      <c r="C44" s="44"/>
      <c r="D44" s="76" t="s">
        <v>70</v>
      </c>
      <c r="E44" s="38" t="s">
        <v>71</v>
      </c>
      <c r="F44" s="53"/>
      <c r="G44" s="77"/>
      <c r="H44" s="162"/>
      <c r="I44" s="79"/>
      <c r="J44" s="80" t="s">
        <v>74</v>
      </c>
      <c r="K44" s="53" t="s">
        <v>75</v>
      </c>
      <c r="L44" s="47">
        <v>0.5</v>
      </c>
      <c r="M44" s="37" t="s">
        <v>76</v>
      </c>
      <c r="N44" s="47">
        <v>0.5</v>
      </c>
      <c r="O44" s="37" t="s">
        <v>77</v>
      </c>
      <c r="P44" s="43">
        <v>1</v>
      </c>
      <c r="Q44" s="43">
        <v>15</v>
      </c>
      <c r="R44" s="53">
        <v>2</v>
      </c>
      <c r="S44" s="53">
        <v>0</v>
      </c>
      <c r="T44" s="38"/>
      <c r="U44" s="38"/>
      <c r="V44" s="38" t="s">
        <v>146</v>
      </c>
      <c r="W44" s="38" t="s">
        <v>79</v>
      </c>
      <c r="X44" s="76"/>
      <c r="Y44" s="81"/>
      <c r="Z44" s="163"/>
      <c r="AA44" s="83"/>
      <c r="AB44" s="201">
        <v>0.11749999999999999</v>
      </c>
      <c r="AC44" s="85">
        <v>0.12</v>
      </c>
      <c r="AD44" s="86"/>
      <c r="AG44" s="88"/>
    </row>
    <row r="45" spans="1:33" ht="27.6" x14ac:dyDescent="0.3">
      <c r="A45" s="43" t="s">
        <v>395</v>
      </c>
      <c r="B45" s="43" t="s">
        <v>484</v>
      </c>
      <c r="C45" s="44"/>
      <c r="D45" s="43" t="s">
        <v>123</v>
      </c>
      <c r="E45" s="69"/>
      <c r="F45" s="69"/>
      <c r="G45" s="67"/>
      <c r="H45" s="36"/>
      <c r="I45" s="45"/>
      <c r="J45" s="80" t="s">
        <v>74</v>
      </c>
      <c r="K45" s="53" t="s">
        <v>391</v>
      </c>
      <c r="L45" s="47">
        <v>0.4</v>
      </c>
      <c r="M45" s="37" t="s">
        <v>77</v>
      </c>
      <c r="N45" s="47">
        <v>0.4</v>
      </c>
      <c r="O45" s="37" t="s">
        <v>77</v>
      </c>
      <c r="P45" s="43">
        <v>20</v>
      </c>
      <c r="Q45" s="43">
        <v>15</v>
      </c>
      <c r="R45" s="53">
        <v>1</v>
      </c>
      <c r="S45" s="53">
        <v>0</v>
      </c>
      <c r="T45" s="38"/>
      <c r="U45" s="38"/>
      <c r="V45" s="38"/>
      <c r="W45" s="38"/>
      <c r="X45" s="43"/>
      <c r="Y45" s="48"/>
      <c r="Z45" s="66"/>
      <c r="AA45" s="65"/>
      <c r="AB45" s="199"/>
      <c r="AC45" s="71"/>
      <c r="AG45" s="88"/>
    </row>
    <row r="46" spans="1:33" x14ac:dyDescent="0.3">
      <c r="A46" s="43" t="s">
        <v>395</v>
      </c>
      <c r="B46" s="43" t="s">
        <v>483</v>
      </c>
      <c r="C46" s="44"/>
      <c r="D46" s="43" t="s">
        <v>123</v>
      </c>
      <c r="E46" s="69"/>
      <c r="F46" s="69"/>
      <c r="G46" s="67"/>
      <c r="H46" s="36"/>
      <c r="I46" s="45"/>
      <c r="J46" s="80" t="s">
        <v>74</v>
      </c>
      <c r="K46" s="53" t="s">
        <v>451</v>
      </c>
      <c r="L46" s="47">
        <v>0.5</v>
      </c>
      <c r="M46" s="37" t="s">
        <v>77</v>
      </c>
      <c r="N46" s="47">
        <v>0.5</v>
      </c>
      <c r="O46" s="37" t="s">
        <v>77</v>
      </c>
      <c r="P46" s="43">
        <v>20</v>
      </c>
      <c r="Q46" s="43">
        <v>15</v>
      </c>
      <c r="R46" s="53">
        <v>1</v>
      </c>
      <c r="S46" s="53">
        <v>0</v>
      </c>
      <c r="T46" s="38"/>
      <c r="U46" s="38"/>
      <c r="V46" s="38"/>
      <c r="W46" s="38"/>
      <c r="X46" s="43"/>
      <c r="Y46" s="48"/>
      <c r="Z46" s="66"/>
      <c r="AA46" s="65"/>
      <c r="AB46" s="199"/>
      <c r="AC46" s="71"/>
      <c r="AG46" s="88"/>
    </row>
    <row r="47" spans="1:33" x14ac:dyDescent="0.3">
      <c r="A47" s="43" t="s">
        <v>364</v>
      </c>
      <c r="B47" s="43" t="s">
        <v>365</v>
      </c>
      <c r="C47" s="44"/>
      <c r="D47" s="43" t="s">
        <v>189</v>
      </c>
      <c r="E47" s="69"/>
      <c r="F47" s="69"/>
      <c r="G47" s="67"/>
      <c r="H47" s="36"/>
      <c r="I47" s="45"/>
      <c r="J47" s="46" t="s">
        <v>74</v>
      </c>
      <c r="K47" s="37" t="s">
        <v>75</v>
      </c>
      <c r="L47" s="47">
        <v>0.5</v>
      </c>
      <c r="M47" s="37" t="s">
        <v>77</v>
      </c>
      <c r="N47" s="47">
        <v>0.5</v>
      </c>
      <c r="O47" s="37" t="s">
        <v>77</v>
      </c>
      <c r="P47" s="43">
        <v>25</v>
      </c>
      <c r="Q47" s="43">
        <v>17</v>
      </c>
      <c r="R47" s="53">
        <v>1</v>
      </c>
      <c r="S47" s="53">
        <v>0</v>
      </c>
      <c r="T47" s="66" t="s">
        <v>102</v>
      </c>
      <c r="U47" s="38"/>
      <c r="V47" s="38" t="s">
        <v>156</v>
      </c>
      <c r="W47" s="38"/>
      <c r="X47" s="43"/>
      <c r="Y47" s="48"/>
      <c r="Z47" s="64"/>
      <c r="AA47" s="65"/>
      <c r="AB47" s="71">
        <v>0.13500000000000001</v>
      </c>
      <c r="AC47" s="71">
        <v>0.13750000000000001</v>
      </c>
      <c r="AG47" s="88"/>
    </row>
    <row r="48" spans="1:33" x14ac:dyDescent="0.3">
      <c r="A48" s="43" t="s">
        <v>412</v>
      </c>
      <c r="B48" s="43" t="s">
        <v>412</v>
      </c>
      <c r="C48" s="44"/>
      <c r="D48" s="43" t="s">
        <v>189</v>
      </c>
      <c r="E48" s="69"/>
      <c r="F48" s="69"/>
      <c r="G48" s="67"/>
      <c r="H48" s="36"/>
      <c r="I48" s="45"/>
      <c r="J48" s="46" t="s">
        <v>74</v>
      </c>
      <c r="K48" s="37" t="s">
        <v>413</v>
      </c>
      <c r="L48" s="47">
        <v>0.5</v>
      </c>
      <c r="M48" s="37" t="s">
        <v>77</v>
      </c>
      <c r="N48" s="47">
        <v>0.5</v>
      </c>
      <c r="O48" s="37" t="s">
        <v>77</v>
      </c>
      <c r="P48" s="43">
        <v>25</v>
      </c>
      <c r="Q48" s="43">
        <v>15</v>
      </c>
      <c r="R48" s="53">
        <v>1</v>
      </c>
      <c r="S48" s="53">
        <v>0</v>
      </c>
      <c r="T48" s="66" t="s">
        <v>102</v>
      </c>
      <c r="U48" s="38"/>
      <c r="V48" s="38" t="s">
        <v>156</v>
      </c>
      <c r="W48" s="38"/>
      <c r="X48" s="43"/>
      <c r="Y48" s="48"/>
      <c r="Z48" s="64"/>
      <c r="AA48" s="65"/>
      <c r="AB48" s="71">
        <v>0.13500000000000001</v>
      </c>
      <c r="AC48" s="71">
        <v>0.13750000000000001</v>
      </c>
      <c r="AG48" s="88"/>
    </row>
    <row r="49" spans="1:30" ht="18" customHeight="1" x14ac:dyDescent="0.3">
      <c r="A49" s="43" t="s">
        <v>274</v>
      </c>
      <c r="B49" s="43" t="s">
        <v>276</v>
      </c>
      <c r="C49" s="44"/>
      <c r="D49" s="43" t="s">
        <v>120</v>
      </c>
      <c r="E49" s="69"/>
      <c r="F49" s="69"/>
      <c r="G49" s="67"/>
      <c r="H49" s="78"/>
      <c r="I49" s="45"/>
      <c r="J49" s="80" t="s">
        <v>74</v>
      </c>
      <c r="K49" s="53" t="s">
        <v>75</v>
      </c>
      <c r="L49" s="47">
        <v>0.3</v>
      </c>
      <c r="M49" s="37" t="s">
        <v>76</v>
      </c>
      <c r="N49" s="47">
        <v>0.3</v>
      </c>
      <c r="O49" s="37" t="s">
        <v>252</v>
      </c>
      <c r="P49" s="43">
        <v>28</v>
      </c>
      <c r="Q49" s="43">
        <v>17</v>
      </c>
      <c r="R49" s="53">
        <v>1</v>
      </c>
      <c r="S49" s="53">
        <v>0</v>
      </c>
      <c r="T49" s="38"/>
      <c r="U49" s="38"/>
      <c r="V49" s="38"/>
      <c r="W49" s="38"/>
      <c r="X49" s="43"/>
      <c r="Y49" s="48"/>
      <c r="Z49" s="66"/>
      <c r="AA49" s="65"/>
      <c r="AB49" s="72" t="s">
        <v>266</v>
      </c>
      <c r="AC49" s="71" t="s">
        <v>266</v>
      </c>
      <c r="AD49" t="s">
        <v>349</v>
      </c>
    </row>
    <row r="50" spans="1:30" ht="18" customHeight="1" x14ac:dyDescent="0.3">
      <c r="A50" s="43" t="s">
        <v>275</v>
      </c>
      <c r="B50" s="43" t="s">
        <v>277</v>
      </c>
      <c r="C50" s="44"/>
      <c r="D50" s="43" t="s">
        <v>120</v>
      </c>
      <c r="E50" s="69"/>
      <c r="F50" s="69"/>
      <c r="G50" s="67"/>
      <c r="H50" s="78"/>
      <c r="I50" s="45"/>
      <c r="J50" s="80" t="s">
        <v>74</v>
      </c>
      <c r="K50" s="53" t="s">
        <v>75</v>
      </c>
      <c r="L50" s="47">
        <v>0.4</v>
      </c>
      <c r="M50" s="37" t="s">
        <v>76</v>
      </c>
      <c r="N50" s="47">
        <v>0.4</v>
      </c>
      <c r="O50" s="37" t="s">
        <v>252</v>
      </c>
      <c r="P50" s="43">
        <v>28</v>
      </c>
      <c r="Q50" s="43">
        <v>17</v>
      </c>
      <c r="R50" s="53">
        <v>1</v>
      </c>
      <c r="S50" s="53">
        <v>0</v>
      </c>
      <c r="T50" s="38"/>
      <c r="U50" s="38"/>
      <c r="V50" s="38"/>
      <c r="W50" s="38"/>
      <c r="X50" s="43"/>
      <c r="Y50" s="48"/>
      <c r="Z50" s="66"/>
      <c r="AA50" s="65"/>
      <c r="AB50" s="72" t="s">
        <v>266</v>
      </c>
      <c r="AC50" s="71" t="s">
        <v>266</v>
      </c>
      <c r="AD50" t="s">
        <v>350</v>
      </c>
    </row>
    <row r="51" spans="1:30" ht="18" customHeight="1" x14ac:dyDescent="0.3">
      <c r="A51" s="43" t="s">
        <v>281</v>
      </c>
      <c r="B51" s="43" t="s">
        <v>282</v>
      </c>
      <c r="C51" s="44"/>
      <c r="D51" s="43" t="s">
        <v>120</v>
      </c>
      <c r="E51" s="69"/>
      <c r="F51" s="69"/>
      <c r="G51" s="67"/>
      <c r="H51" s="78"/>
      <c r="I51" s="45"/>
      <c r="J51" s="80" t="s">
        <v>74</v>
      </c>
      <c r="K51" s="53" t="s">
        <v>75</v>
      </c>
      <c r="L51" s="47">
        <v>0.5</v>
      </c>
      <c r="M51" s="37" t="s">
        <v>76</v>
      </c>
      <c r="N51" s="47">
        <v>0.5</v>
      </c>
      <c r="O51" s="37" t="s">
        <v>252</v>
      </c>
      <c r="P51" s="43">
        <v>28</v>
      </c>
      <c r="Q51" s="43">
        <v>15</v>
      </c>
      <c r="R51" s="53">
        <v>1</v>
      </c>
      <c r="S51" s="53">
        <v>0</v>
      </c>
      <c r="T51" s="38"/>
      <c r="U51" s="38"/>
      <c r="V51" s="38"/>
      <c r="W51" s="38"/>
      <c r="X51" s="43"/>
      <c r="Y51" s="48"/>
      <c r="Z51" s="66"/>
      <c r="AA51" s="65"/>
      <c r="AB51" s="72" t="s">
        <v>266</v>
      </c>
      <c r="AC51" s="71" t="s">
        <v>266</v>
      </c>
    </row>
    <row r="52" spans="1:30" ht="18" customHeight="1" x14ac:dyDescent="0.3">
      <c r="A52" s="43" t="s">
        <v>614</v>
      </c>
      <c r="B52" s="43" t="s">
        <v>614</v>
      </c>
      <c r="C52" s="44"/>
      <c r="D52" s="43"/>
      <c r="E52" s="69"/>
      <c r="F52" s="69"/>
      <c r="G52" s="67"/>
      <c r="H52" s="78"/>
      <c r="I52" s="45"/>
      <c r="J52" s="80"/>
      <c r="K52" s="53"/>
      <c r="L52" s="47">
        <v>0.5</v>
      </c>
      <c r="M52" s="37" t="s">
        <v>77</v>
      </c>
      <c r="N52" s="47">
        <v>0.5</v>
      </c>
      <c r="O52" s="37" t="s">
        <v>77</v>
      </c>
      <c r="P52" s="43">
        <v>25</v>
      </c>
      <c r="Q52" s="43">
        <v>17</v>
      </c>
      <c r="R52" s="53">
        <v>1</v>
      </c>
      <c r="S52" s="53"/>
      <c r="T52" s="38"/>
      <c r="U52" s="38"/>
      <c r="V52" s="38"/>
      <c r="W52" s="38"/>
      <c r="X52" s="43"/>
      <c r="Y52" s="48"/>
      <c r="Z52" s="66"/>
      <c r="AA52" s="65"/>
      <c r="AB52" s="72"/>
      <c r="AC52" s="71"/>
    </row>
    <row r="53" spans="1:30" ht="18" customHeight="1" x14ac:dyDescent="0.3">
      <c r="A53" s="43" t="s">
        <v>581</v>
      </c>
      <c r="B53" s="43" t="s">
        <v>581</v>
      </c>
      <c r="C53" s="44"/>
      <c r="D53" s="43"/>
      <c r="E53" s="69"/>
      <c r="F53" s="69"/>
      <c r="G53" s="67"/>
      <c r="H53" s="78"/>
      <c r="I53" s="45"/>
      <c r="J53" s="80"/>
      <c r="K53" s="53"/>
      <c r="L53" s="47">
        <v>0.45</v>
      </c>
      <c r="M53" s="37" t="s">
        <v>77</v>
      </c>
      <c r="N53" s="47">
        <v>0.45</v>
      </c>
      <c r="O53" s="37" t="s">
        <v>77</v>
      </c>
      <c r="P53" s="43">
        <v>25</v>
      </c>
      <c r="Q53" s="43">
        <v>15</v>
      </c>
      <c r="R53" s="53">
        <v>1</v>
      </c>
      <c r="S53" s="53"/>
      <c r="T53" s="38"/>
      <c r="U53" s="38"/>
      <c r="V53" s="38"/>
      <c r="W53" s="38"/>
      <c r="X53" s="43"/>
      <c r="Y53" s="48"/>
      <c r="Z53" s="66"/>
      <c r="AA53" s="65"/>
      <c r="AB53" s="72"/>
      <c r="AC53" s="71"/>
    </row>
    <row r="54" spans="1:30" ht="18" customHeight="1" x14ac:dyDescent="0.3">
      <c r="A54" s="43" t="s">
        <v>283</v>
      </c>
      <c r="B54" s="43" t="s">
        <v>294</v>
      </c>
      <c r="C54" s="44"/>
      <c r="D54" s="43" t="s">
        <v>189</v>
      </c>
      <c r="E54" s="69" t="s">
        <v>184</v>
      </c>
      <c r="F54" s="69" t="s">
        <v>184</v>
      </c>
      <c r="G54" s="67"/>
      <c r="H54" s="36" t="s">
        <v>190</v>
      </c>
      <c r="I54" s="45"/>
      <c r="J54" s="46" t="s">
        <v>74</v>
      </c>
      <c r="K54" s="37" t="s">
        <v>75</v>
      </c>
      <c r="L54" s="47">
        <v>0.5</v>
      </c>
      <c r="M54" s="37" t="s">
        <v>76</v>
      </c>
      <c r="N54" s="47">
        <v>0.5</v>
      </c>
      <c r="O54" s="37" t="s">
        <v>191</v>
      </c>
      <c r="P54" s="43">
        <v>28</v>
      </c>
      <c r="Q54" s="43">
        <v>15</v>
      </c>
      <c r="R54" s="53">
        <v>1</v>
      </c>
      <c r="S54" s="53">
        <v>0</v>
      </c>
      <c r="T54" s="66" t="s">
        <v>102</v>
      </c>
      <c r="U54" s="38"/>
      <c r="V54" s="38" t="s">
        <v>156</v>
      </c>
      <c r="W54" s="38"/>
      <c r="X54" s="43"/>
      <c r="Y54" s="48"/>
      <c r="Z54" s="64"/>
      <c r="AA54" s="65"/>
      <c r="AB54" s="87">
        <v>0.13500000000000001</v>
      </c>
      <c r="AC54" s="71">
        <v>0.13750000000000001</v>
      </c>
    </row>
    <row r="55" spans="1:30" ht="18" customHeight="1" x14ac:dyDescent="0.3">
      <c r="A55" s="43" t="s">
        <v>360</v>
      </c>
      <c r="B55" s="43" t="s">
        <v>361</v>
      </c>
      <c r="C55" s="44"/>
      <c r="D55" s="43" t="s">
        <v>123</v>
      </c>
      <c r="E55" s="69"/>
      <c r="F55" s="69"/>
      <c r="G55" s="67"/>
      <c r="H55" s="36"/>
      <c r="I55" s="45"/>
      <c r="J55" s="80" t="s">
        <v>74</v>
      </c>
      <c r="K55" s="53" t="s">
        <v>75</v>
      </c>
      <c r="L55" s="47">
        <v>0.5</v>
      </c>
      <c r="M55" s="37" t="s">
        <v>77</v>
      </c>
      <c r="N55" s="47">
        <v>0.5</v>
      </c>
      <c r="O55" s="37" t="s">
        <v>77</v>
      </c>
      <c r="P55" s="43">
        <v>25</v>
      </c>
      <c r="Q55" s="43">
        <v>15</v>
      </c>
      <c r="R55" s="53">
        <v>1</v>
      </c>
      <c r="S55" s="53">
        <v>0</v>
      </c>
      <c r="T55" s="38"/>
      <c r="U55" s="38"/>
      <c r="V55" s="38"/>
      <c r="W55" s="38"/>
      <c r="X55" s="43"/>
      <c r="Y55" s="48"/>
      <c r="Z55" s="66"/>
      <c r="AA55" s="65"/>
      <c r="AB55" s="72">
        <v>0.13500000000000001</v>
      </c>
      <c r="AC55" s="71">
        <v>0.14000000000000001</v>
      </c>
    </row>
    <row r="56" spans="1:30" ht="18" customHeight="1" x14ac:dyDescent="0.3">
      <c r="A56" s="43" t="s">
        <v>476</v>
      </c>
      <c r="B56" s="43" t="s">
        <v>599</v>
      </c>
      <c r="C56" s="44"/>
      <c r="D56" s="43" t="s">
        <v>123</v>
      </c>
      <c r="E56" s="69"/>
      <c r="F56" s="69"/>
      <c r="G56" s="67"/>
      <c r="H56" s="36"/>
      <c r="I56" s="45"/>
      <c r="J56" s="80" t="s">
        <v>74</v>
      </c>
      <c r="K56" s="53" t="s">
        <v>477</v>
      </c>
      <c r="L56" s="47">
        <v>0.45</v>
      </c>
      <c r="M56" s="37" t="s">
        <v>77</v>
      </c>
      <c r="N56" s="47">
        <v>0.45</v>
      </c>
      <c r="O56" s="37" t="s">
        <v>77</v>
      </c>
      <c r="P56" s="43">
        <v>20</v>
      </c>
      <c r="Q56" s="43">
        <v>10</v>
      </c>
      <c r="R56" s="53">
        <v>1</v>
      </c>
      <c r="S56" s="53"/>
      <c r="T56" s="38"/>
      <c r="U56" s="38"/>
      <c r="V56" s="38"/>
      <c r="W56" s="38"/>
      <c r="X56" s="43"/>
      <c r="Y56" s="48"/>
      <c r="Z56" s="66"/>
      <c r="AA56" s="65"/>
      <c r="AB56" s="72"/>
      <c r="AC56" s="71"/>
    </row>
    <row r="57" spans="1:30" ht="18" customHeight="1" x14ac:dyDescent="0.3">
      <c r="A57" s="43" t="s">
        <v>476</v>
      </c>
      <c r="B57" s="43" t="s">
        <v>478</v>
      </c>
      <c r="C57" s="44"/>
      <c r="D57" s="43" t="s">
        <v>123</v>
      </c>
      <c r="E57" s="69"/>
      <c r="F57" s="69"/>
      <c r="G57" s="67"/>
      <c r="H57" s="36"/>
      <c r="I57" s="45"/>
      <c r="J57" s="80" t="s">
        <v>74</v>
      </c>
      <c r="K57" s="53" t="s">
        <v>451</v>
      </c>
      <c r="L57" s="47">
        <v>0.5</v>
      </c>
      <c r="M57" s="37" t="s">
        <v>77</v>
      </c>
      <c r="N57" s="47">
        <v>0.5</v>
      </c>
      <c r="O57" s="37" t="s">
        <v>77</v>
      </c>
      <c r="P57" s="43">
        <v>20</v>
      </c>
      <c r="Q57" s="43">
        <v>10</v>
      </c>
      <c r="R57" s="53">
        <v>1</v>
      </c>
      <c r="S57" s="53"/>
      <c r="T57" s="38"/>
      <c r="U57" s="38"/>
      <c r="V57" s="38"/>
      <c r="W57" s="38"/>
      <c r="X57" s="43"/>
      <c r="Y57" s="48"/>
      <c r="Z57" s="66"/>
      <c r="AA57" s="65"/>
      <c r="AB57" s="72"/>
      <c r="AC57" s="71"/>
    </row>
    <row r="58" spans="1:30" ht="18" customHeight="1" x14ac:dyDescent="0.3">
      <c r="A58" s="43" t="s">
        <v>476</v>
      </c>
      <c r="B58" s="43" t="s">
        <v>600</v>
      </c>
      <c r="C58" s="44"/>
      <c r="D58" s="43" t="s">
        <v>123</v>
      </c>
      <c r="E58" s="69"/>
      <c r="F58" s="69"/>
      <c r="G58" s="67"/>
      <c r="H58" s="36"/>
      <c r="I58" s="45"/>
      <c r="J58" s="80" t="s">
        <v>74</v>
      </c>
      <c r="K58" s="53" t="s">
        <v>451</v>
      </c>
      <c r="L58" s="47">
        <v>0.42</v>
      </c>
      <c r="M58" s="37" t="s">
        <v>77</v>
      </c>
      <c r="N58" s="47">
        <v>0.42</v>
      </c>
      <c r="O58" s="37" t="s">
        <v>77</v>
      </c>
      <c r="P58" s="43">
        <v>20</v>
      </c>
      <c r="Q58" s="43">
        <v>10</v>
      </c>
      <c r="R58" s="53">
        <v>1</v>
      </c>
      <c r="S58" s="53"/>
      <c r="T58" s="38"/>
      <c r="U58" s="38"/>
      <c r="V58" s="38"/>
      <c r="W58" s="38"/>
      <c r="X58" s="43"/>
      <c r="Y58" s="48"/>
      <c r="Z58" s="66"/>
      <c r="AA58" s="65"/>
      <c r="AB58" s="72"/>
      <c r="AC58" s="71"/>
    </row>
    <row r="59" spans="1:30" ht="18" customHeight="1" x14ac:dyDescent="0.3">
      <c r="A59" s="43" t="s">
        <v>556</v>
      </c>
      <c r="B59" s="43" t="s">
        <v>556</v>
      </c>
      <c r="C59" s="44"/>
      <c r="D59" s="43"/>
      <c r="E59" s="69"/>
      <c r="F59" s="69"/>
      <c r="G59" s="67"/>
      <c r="H59" s="36"/>
      <c r="I59" s="45"/>
      <c r="J59" s="80" t="s">
        <v>74</v>
      </c>
      <c r="K59" s="53" t="s">
        <v>451</v>
      </c>
      <c r="L59" s="47">
        <v>0.5</v>
      </c>
      <c r="M59" s="37" t="s">
        <v>77</v>
      </c>
      <c r="N59" s="47">
        <v>0.5</v>
      </c>
      <c r="O59" s="37" t="s">
        <v>77</v>
      </c>
      <c r="P59" s="43">
        <v>26</v>
      </c>
      <c r="Q59" s="43">
        <v>17</v>
      </c>
      <c r="R59" s="53">
        <v>1</v>
      </c>
      <c r="S59" s="53"/>
      <c r="T59" s="38"/>
      <c r="U59" s="38"/>
      <c r="V59" s="38"/>
      <c r="W59" s="38"/>
      <c r="X59" s="43"/>
      <c r="Y59" s="48"/>
      <c r="Z59" s="66"/>
      <c r="AA59" s="65"/>
      <c r="AB59" s="72"/>
      <c r="AC59" s="71"/>
    </row>
    <row r="60" spans="1:30" ht="18" customHeight="1" x14ac:dyDescent="0.3">
      <c r="A60" s="43" t="s">
        <v>535</v>
      </c>
      <c r="B60" s="43" t="s">
        <v>535</v>
      </c>
      <c r="C60" s="44"/>
      <c r="D60" s="43"/>
      <c r="E60" s="69"/>
      <c r="F60" s="69"/>
      <c r="G60" s="67"/>
      <c r="H60" s="36"/>
      <c r="I60" s="45"/>
      <c r="J60" s="80"/>
      <c r="K60" s="53"/>
      <c r="L60" s="47">
        <v>0.48</v>
      </c>
      <c r="M60" s="37" t="s">
        <v>77</v>
      </c>
      <c r="N60" s="47">
        <v>0.48</v>
      </c>
      <c r="O60" s="37" t="s">
        <v>77</v>
      </c>
      <c r="P60" s="43">
        <v>20</v>
      </c>
      <c r="Q60" s="43">
        <v>15</v>
      </c>
      <c r="R60" s="53">
        <v>1</v>
      </c>
      <c r="S60" s="53"/>
      <c r="T60" s="38"/>
      <c r="U60" s="38"/>
      <c r="V60" s="38"/>
      <c r="W60" s="38"/>
      <c r="X60" s="43"/>
      <c r="Y60" s="48"/>
      <c r="Z60" s="66"/>
      <c r="AA60" s="65"/>
      <c r="AB60" s="72"/>
      <c r="AC60" s="71"/>
    </row>
    <row r="61" spans="1:30" ht="18" customHeight="1" x14ac:dyDescent="0.3">
      <c r="A61" s="43" t="s">
        <v>590</v>
      </c>
      <c r="B61" s="43" t="s">
        <v>590</v>
      </c>
      <c r="C61" s="44"/>
      <c r="D61" s="43"/>
      <c r="E61" s="69"/>
      <c r="F61" s="69"/>
      <c r="G61" s="67"/>
      <c r="H61" s="36"/>
      <c r="I61" s="45"/>
      <c r="J61" s="80"/>
      <c r="K61" s="53"/>
      <c r="L61" s="47">
        <v>0.5</v>
      </c>
      <c r="M61" s="37" t="s">
        <v>77</v>
      </c>
      <c r="N61" s="47">
        <v>0.5</v>
      </c>
      <c r="O61" s="37" t="s">
        <v>77</v>
      </c>
      <c r="P61" s="43">
        <v>28</v>
      </c>
      <c r="Q61" s="43">
        <v>17</v>
      </c>
      <c r="R61" s="53">
        <v>1</v>
      </c>
      <c r="S61" s="53"/>
      <c r="T61" s="38"/>
      <c r="U61" s="38"/>
      <c r="V61" s="38"/>
      <c r="W61" s="38"/>
      <c r="X61" s="43"/>
      <c r="Y61" s="48"/>
      <c r="Z61" s="66"/>
      <c r="AA61" s="65"/>
      <c r="AB61" s="72"/>
      <c r="AC61" s="71"/>
    </row>
    <row r="62" spans="1:30" ht="18" customHeight="1" x14ac:dyDescent="0.3">
      <c r="A62" s="68" t="s">
        <v>168</v>
      </c>
      <c r="B62" s="68" t="s">
        <v>168</v>
      </c>
      <c r="C62" s="44"/>
      <c r="D62" s="43" t="s">
        <v>123</v>
      </c>
      <c r="E62" s="70" t="s">
        <v>155</v>
      </c>
      <c r="F62" s="68" t="s">
        <v>155</v>
      </c>
      <c r="G62" s="67"/>
      <c r="H62" s="36" t="s">
        <v>170</v>
      </c>
      <c r="I62" s="45"/>
      <c r="J62" s="46" t="s">
        <v>74</v>
      </c>
      <c r="K62" s="37" t="s">
        <v>75</v>
      </c>
      <c r="L62" s="165">
        <v>0.45</v>
      </c>
      <c r="M62" s="37" t="s">
        <v>77</v>
      </c>
      <c r="N62" s="165">
        <v>0.45</v>
      </c>
      <c r="O62" s="37" t="s">
        <v>77</v>
      </c>
      <c r="P62" s="66">
        <v>20</v>
      </c>
      <c r="Q62" s="43">
        <v>17</v>
      </c>
      <c r="R62" s="53">
        <v>1</v>
      </c>
      <c r="S62" s="53">
        <v>0</v>
      </c>
      <c r="T62" s="66" t="s">
        <v>169</v>
      </c>
      <c r="U62" s="66"/>
      <c r="V62" s="38" t="s">
        <v>156</v>
      </c>
      <c r="W62" s="66"/>
      <c r="X62" s="43"/>
      <c r="Y62" s="66"/>
      <c r="Z62" s="66"/>
      <c r="AA62" s="65"/>
      <c r="AB62" s="72">
        <v>0.1275</v>
      </c>
      <c r="AC62" s="71">
        <v>0.13</v>
      </c>
    </row>
    <row r="63" spans="1:30" ht="18" customHeight="1" x14ac:dyDescent="0.3">
      <c r="A63" s="43" t="s">
        <v>260</v>
      </c>
      <c r="B63" s="43" t="s">
        <v>292</v>
      </c>
      <c r="C63" s="44"/>
      <c r="D63" s="43" t="s">
        <v>123</v>
      </c>
      <c r="E63" s="69"/>
      <c r="F63" s="69"/>
      <c r="G63" s="67"/>
      <c r="H63" s="36"/>
      <c r="I63" s="45"/>
      <c r="J63" s="80" t="s">
        <v>74</v>
      </c>
      <c r="K63" s="53" t="s">
        <v>75</v>
      </c>
      <c r="L63" s="47">
        <v>0.5</v>
      </c>
      <c r="M63" s="37" t="s">
        <v>77</v>
      </c>
      <c r="N63" s="47">
        <v>0.5</v>
      </c>
      <c r="O63" s="37" t="s">
        <v>77</v>
      </c>
      <c r="P63" s="43">
        <v>26</v>
      </c>
      <c r="Q63" s="43">
        <v>15</v>
      </c>
      <c r="R63" s="53">
        <v>1</v>
      </c>
      <c r="S63" s="53">
        <v>0</v>
      </c>
      <c r="T63" s="38"/>
      <c r="U63" s="38"/>
      <c r="V63" s="38"/>
      <c r="W63" s="38"/>
      <c r="X63" s="43"/>
      <c r="Y63" s="48"/>
      <c r="Z63" s="66"/>
      <c r="AA63" s="65"/>
      <c r="AB63" s="72">
        <v>0.13500000000000001</v>
      </c>
      <c r="AC63" s="71">
        <v>0.14000000000000001</v>
      </c>
    </row>
    <row r="64" spans="1:30" ht="18" customHeight="1" x14ac:dyDescent="0.3">
      <c r="A64" s="43" t="s">
        <v>592</v>
      </c>
      <c r="B64" s="43" t="s">
        <v>592</v>
      </c>
      <c r="C64" s="44"/>
      <c r="D64" s="43"/>
      <c r="E64" s="69"/>
      <c r="F64" s="69"/>
      <c r="G64" s="67"/>
      <c r="H64" s="36"/>
      <c r="I64" s="45"/>
      <c r="J64" s="80"/>
      <c r="K64" s="53"/>
      <c r="L64" s="47">
        <v>0.48</v>
      </c>
      <c r="M64" s="37" t="s">
        <v>77</v>
      </c>
      <c r="N64" s="47">
        <v>0.48</v>
      </c>
      <c r="O64" s="37" t="s">
        <v>77</v>
      </c>
      <c r="P64" s="43">
        <v>20</v>
      </c>
      <c r="Q64" s="43">
        <v>15</v>
      </c>
      <c r="R64" s="53">
        <v>1</v>
      </c>
      <c r="S64" s="53"/>
      <c r="T64" s="38"/>
      <c r="U64" s="38"/>
      <c r="V64" s="38"/>
      <c r="W64" s="38"/>
      <c r="X64" s="43"/>
      <c r="Y64" s="48"/>
      <c r="Z64" s="66"/>
      <c r="AA64" s="65"/>
      <c r="AB64" s="72"/>
      <c r="AC64" s="71"/>
    </row>
    <row r="65" spans="1:29" ht="18" customHeight="1" x14ac:dyDescent="0.3">
      <c r="A65" s="43" t="s">
        <v>256</v>
      </c>
      <c r="B65" s="43" t="s">
        <v>291</v>
      </c>
      <c r="C65" s="44" t="s">
        <v>257</v>
      </c>
      <c r="D65" s="43" t="s">
        <v>123</v>
      </c>
      <c r="E65" s="69" t="s">
        <v>259</v>
      </c>
      <c r="F65" s="69"/>
      <c r="G65" s="67"/>
      <c r="H65" s="36" t="s">
        <v>258</v>
      </c>
      <c r="I65" s="45"/>
      <c r="J65" s="80" t="s">
        <v>74</v>
      </c>
      <c r="K65" s="53" t="s">
        <v>75</v>
      </c>
      <c r="L65" s="47">
        <v>0.5</v>
      </c>
      <c r="M65" s="37" t="s">
        <v>77</v>
      </c>
      <c r="N65" s="47">
        <v>0.5</v>
      </c>
      <c r="O65" s="37" t="s">
        <v>77</v>
      </c>
      <c r="P65" s="43">
        <v>25</v>
      </c>
      <c r="Q65" s="43">
        <v>17</v>
      </c>
      <c r="R65" s="53">
        <v>1</v>
      </c>
      <c r="S65" s="53">
        <v>0</v>
      </c>
      <c r="T65" s="38"/>
      <c r="U65" s="38"/>
      <c r="V65" s="38"/>
      <c r="W65" s="38"/>
      <c r="X65" s="43"/>
      <c r="Y65" s="48"/>
      <c r="Z65" s="66"/>
      <c r="AA65" s="65"/>
      <c r="AB65" s="72">
        <v>0.13500000000000001</v>
      </c>
      <c r="AC65" s="71">
        <v>0.14000000000000001</v>
      </c>
    </row>
    <row r="66" spans="1:29" ht="18" customHeight="1" x14ac:dyDescent="0.3">
      <c r="A66" s="43" t="s">
        <v>139</v>
      </c>
      <c r="B66" s="43" t="s">
        <v>626</v>
      </c>
      <c r="C66" s="44"/>
      <c r="D66" s="43" t="s">
        <v>123</v>
      </c>
      <c r="E66" s="69" t="s">
        <v>140</v>
      </c>
      <c r="F66" s="37" t="s">
        <v>141</v>
      </c>
      <c r="G66" s="67">
        <v>43040</v>
      </c>
      <c r="H66" s="36" t="s">
        <v>142</v>
      </c>
      <c r="I66" s="45">
        <v>5000000</v>
      </c>
      <c r="J66" s="46" t="s">
        <v>74</v>
      </c>
      <c r="K66" s="37" t="s">
        <v>75</v>
      </c>
      <c r="L66" s="47">
        <v>0.5</v>
      </c>
      <c r="M66" s="37" t="s">
        <v>77</v>
      </c>
      <c r="N66" s="47">
        <v>0.5</v>
      </c>
      <c r="O66" s="37" t="s">
        <v>77</v>
      </c>
      <c r="P66" s="164">
        <v>25</v>
      </c>
      <c r="Q66" s="43">
        <v>17</v>
      </c>
      <c r="R66" s="53">
        <v>1</v>
      </c>
      <c r="S66" s="53">
        <v>0</v>
      </c>
      <c r="T66" s="38" t="s">
        <v>143</v>
      </c>
      <c r="U66" s="38"/>
      <c r="V66" s="38" t="s">
        <v>145</v>
      </c>
      <c r="W66" s="38" t="s">
        <v>79</v>
      </c>
      <c r="X66" s="43" t="s">
        <v>144</v>
      </c>
      <c r="Y66" s="48"/>
      <c r="Z66" s="64"/>
      <c r="AA66" s="65">
        <v>43009</v>
      </c>
      <c r="AB66" s="72">
        <v>0.13500000000000001</v>
      </c>
      <c r="AC66" s="71">
        <v>0.13750000000000001</v>
      </c>
    </row>
    <row r="67" spans="1:29" ht="18" customHeight="1" x14ac:dyDescent="0.3">
      <c r="A67" s="43" t="s">
        <v>278</v>
      </c>
      <c r="B67" s="43" t="s">
        <v>316</v>
      </c>
      <c r="C67" s="44"/>
      <c r="D67" s="43" t="s">
        <v>123</v>
      </c>
      <c r="E67" s="69"/>
      <c r="F67" s="69"/>
      <c r="G67" s="67"/>
      <c r="H67" s="78"/>
      <c r="I67" s="45"/>
      <c r="J67" s="80" t="s">
        <v>74</v>
      </c>
      <c r="K67" s="53" t="s">
        <v>75</v>
      </c>
      <c r="L67" s="165">
        <v>0.45</v>
      </c>
      <c r="M67" s="37" t="s">
        <v>76</v>
      </c>
      <c r="N67" s="165">
        <v>0.45</v>
      </c>
      <c r="O67" s="37" t="s">
        <v>191</v>
      </c>
      <c r="P67" s="43">
        <v>1</v>
      </c>
      <c r="Q67" s="43">
        <v>17</v>
      </c>
      <c r="R67" s="53">
        <v>2</v>
      </c>
      <c r="S67" s="53">
        <v>0</v>
      </c>
      <c r="T67" s="38"/>
      <c r="U67" s="38"/>
      <c r="V67" s="38"/>
      <c r="W67" s="38"/>
      <c r="X67" s="43"/>
      <c r="Y67" s="48"/>
      <c r="Z67" s="66"/>
      <c r="AA67" s="65"/>
      <c r="AB67" s="72" t="s">
        <v>266</v>
      </c>
      <c r="AC67" s="71" t="s">
        <v>266</v>
      </c>
    </row>
    <row r="68" spans="1:29" ht="18" customHeight="1" x14ac:dyDescent="0.3">
      <c r="A68" s="43" t="s">
        <v>370</v>
      </c>
      <c r="B68" s="43" t="s">
        <v>371</v>
      </c>
      <c r="C68" s="44"/>
      <c r="D68" s="43" t="s">
        <v>123</v>
      </c>
      <c r="E68" s="69"/>
      <c r="F68" s="69"/>
      <c r="G68" s="67"/>
      <c r="H68" s="36"/>
      <c r="I68" s="45"/>
      <c r="J68" s="80" t="s">
        <v>74</v>
      </c>
      <c r="K68" s="53" t="s">
        <v>75</v>
      </c>
      <c r="L68" s="47">
        <v>0.48</v>
      </c>
      <c r="M68" s="37" t="s">
        <v>77</v>
      </c>
      <c r="N68" s="47">
        <v>0.48</v>
      </c>
      <c r="O68" s="37" t="s">
        <v>77</v>
      </c>
      <c r="P68" s="43">
        <v>20</v>
      </c>
      <c r="Q68" s="43">
        <v>15</v>
      </c>
      <c r="R68" s="53">
        <v>1</v>
      </c>
      <c r="S68" s="53">
        <v>0</v>
      </c>
      <c r="T68" s="38"/>
      <c r="U68" s="38"/>
      <c r="V68" s="38"/>
      <c r="W68" s="38"/>
      <c r="X68" s="43"/>
      <c r="Y68" s="48"/>
      <c r="Z68" s="66"/>
      <c r="AA68" s="65"/>
      <c r="AB68" s="72">
        <v>0.13500000000000001</v>
      </c>
      <c r="AC68" s="71">
        <v>0.14000000000000001</v>
      </c>
    </row>
    <row r="69" spans="1:29" ht="18" customHeight="1" x14ac:dyDescent="0.3">
      <c r="A69" s="43" t="s">
        <v>617</v>
      </c>
      <c r="B69" s="43" t="s">
        <v>617</v>
      </c>
      <c r="C69" s="44"/>
      <c r="D69" s="43"/>
      <c r="E69" s="69"/>
      <c r="F69" s="69"/>
      <c r="G69" s="67"/>
      <c r="H69" s="36"/>
      <c r="I69" s="45"/>
      <c r="J69" s="80"/>
      <c r="K69" s="53"/>
      <c r="L69" s="47">
        <v>0.49</v>
      </c>
      <c r="M69" s="37" t="s">
        <v>77</v>
      </c>
      <c r="N69" s="47">
        <v>0.49</v>
      </c>
      <c r="O69" s="37" t="s">
        <v>77</v>
      </c>
      <c r="P69" s="43">
        <v>28</v>
      </c>
      <c r="Q69" s="43">
        <v>17</v>
      </c>
      <c r="R69" s="53">
        <v>1</v>
      </c>
      <c r="S69" s="53"/>
      <c r="T69" s="38"/>
      <c r="U69" s="38"/>
      <c r="V69" s="38"/>
      <c r="W69" s="38"/>
      <c r="X69" s="43"/>
      <c r="Y69" s="48"/>
      <c r="Z69" s="66"/>
      <c r="AA69" s="65"/>
      <c r="AB69" s="72"/>
      <c r="AC69" s="71"/>
    </row>
    <row r="70" spans="1:29" ht="18" customHeight="1" x14ac:dyDescent="0.3">
      <c r="A70" s="43" t="s">
        <v>278</v>
      </c>
      <c r="B70" s="43" t="s">
        <v>318</v>
      </c>
      <c r="C70" s="44"/>
      <c r="D70" s="43" t="s">
        <v>123</v>
      </c>
      <c r="E70" s="69"/>
      <c r="F70" s="69"/>
      <c r="G70" s="67"/>
      <c r="H70" s="78"/>
      <c r="I70" s="45"/>
      <c r="J70" s="80" t="s">
        <v>74</v>
      </c>
      <c r="K70" s="53" t="s">
        <v>75</v>
      </c>
      <c r="L70" s="47">
        <v>0.35</v>
      </c>
      <c r="M70" s="37" t="s">
        <v>76</v>
      </c>
      <c r="N70" s="47">
        <v>0.35</v>
      </c>
      <c r="O70" s="37" t="s">
        <v>191</v>
      </c>
      <c r="P70" s="43">
        <v>1</v>
      </c>
      <c r="Q70" s="43">
        <v>17</v>
      </c>
      <c r="R70" s="53">
        <v>2</v>
      </c>
      <c r="S70" s="53">
        <v>0</v>
      </c>
      <c r="T70" s="38"/>
      <c r="U70" s="38"/>
      <c r="V70" s="38"/>
      <c r="W70" s="38"/>
      <c r="X70" s="43"/>
      <c r="Y70" s="48"/>
      <c r="Z70" s="66"/>
      <c r="AA70" s="65"/>
      <c r="AB70" s="72" t="s">
        <v>266</v>
      </c>
      <c r="AC70" s="71" t="s">
        <v>266</v>
      </c>
    </row>
    <row r="71" spans="1:29" ht="18" customHeight="1" x14ac:dyDescent="0.3">
      <c r="A71" s="43" t="s">
        <v>278</v>
      </c>
      <c r="B71" s="43" t="s">
        <v>317</v>
      </c>
      <c r="C71" s="44"/>
      <c r="D71" s="43" t="s">
        <v>123</v>
      </c>
      <c r="E71" s="69"/>
      <c r="F71" s="69"/>
      <c r="G71" s="67"/>
      <c r="H71" s="78"/>
      <c r="I71" s="45"/>
      <c r="J71" s="80" t="s">
        <v>74</v>
      </c>
      <c r="K71" s="53" t="s">
        <v>75</v>
      </c>
      <c r="L71" s="47">
        <v>0.4</v>
      </c>
      <c r="M71" s="37" t="s">
        <v>76</v>
      </c>
      <c r="N71" s="47">
        <v>0.4</v>
      </c>
      <c r="O71" s="37" t="s">
        <v>191</v>
      </c>
      <c r="P71" s="43">
        <v>1</v>
      </c>
      <c r="Q71" s="43">
        <v>17</v>
      </c>
      <c r="R71" s="53">
        <v>2</v>
      </c>
      <c r="S71" s="53">
        <v>0</v>
      </c>
      <c r="T71" s="38"/>
      <c r="U71" s="38"/>
      <c r="V71" s="38"/>
      <c r="W71" s="38"/>
      <c r="X71" s="43"/>
      <c r="Y71" s="48"/>
      <c r="Z71" s="66"/>
      <c r="AA71" s="65"/>
      <c r="AB71" s="72" t="s">
        <v>266</v>
      </c>
      <c r="AC71" s="71" t="s">
        <v>266</v>
      </c>
    </row>
    <row r="72" spans="1:29" ht="18" customHeight="1" x14ac:dyDescent="0.3">
      <c r="A72" s="43" t="s">
        <v>386</v>
      </c>
      <c r="B72" s="43" t="s">
        <v>386</v>
      </c>
      <c r="C72" s="44"/>
      <c r="D72" s="43" t="s">
        <v>123</v>
      </c>
      <c r="E72" s="69"/>
      <c r="F72" s="69"/>
      <c r="G72" s="67"/>
      <c r="H72" s="36"/>
      <c r="I72" s="45"/>
      <c r="J72" s="80" t="s">
        <v>74</v>
      </c>
      <c r="K72" s="53" t="s">
        <v>75</v>
      </c>
      <c r="L72" s="47">
        <v>0.5</v>
      </c>
      <c r="M72" s="37" t="s">
        <v>77</v>
      </c>
      <c r="N72" s="47">
        <v>0.5</v>
      </c>
      <c r="O72" s="37" t="s">
        <v>77</v>
      </c>
      <c r="P72" s="43">
        <v>25</v>
      </c>
      <c r="Q72" s="43">
        <v>15</v>
      </c>
      <c r="R72" s="53">
        <v>1</v>
      </c>
      <c r="S72" s="53">
        <v>0</v>
      </c>
      <c r="T72" s="38"/>
      <c r="U72" s="38"/>
      <c r="V72" s="38"/>
      <c r="W72" s="38"/>
      <c r="X72" s="43"/>
      <c r="Y72" s="48"/>
      <c r="Z72" s="66"/>
      <c r="AA72" s="65"/>
      <c r="AB72" s="72"/>
      <c r="AC72" s="71"/>
    </row>
    <row r="73" spans="1:29" ht="18" customHeight="1" x14ac:dyDescent="0.3">
      <c r="A73" s="43" t="s">
        <v>403</v>
      </c>
      <c r="B73" s="43" t="s">
        <v>403</v>
      </c>
      <c r="C73" s="44"/>
      <c r="D73" s="43" t="s">
        <v>123</v>
      </c>
      <c r="E73" s="69"/>
      <c r="F73" s="69"/>
      <c r="G73" s="67"/>
      <c r="H73" s="36"/>
      <c r="I73" s="45"/>
      <c r="J73" s="80" t="s">
        <v>74</v>
      </c>
      <c r="K73" s="53" t="s">
        <v>391</v>
      </c>
      <c r="L73" s="47">
        <v>0.5</v>
      </c>
      <c r="M73" s="37" t="s">
        <v>77</v>
      </c>
      <c r="N73" s="47">
        <v>0.5</v>
      </c>
      <c r="O73" s="37" t="s">
        <v>77</v>
      </c>
      <c r="P73" s="43">
        <v>20</v>
      </c>
      <c r="Q73" s="43">
        <v>15</v>
      </c>
      <c r="R73" s="53">
        <v>1</v>
      </c>
      <c r="S73" s="53"/>
      <c r="T73" s="38"/>
      <c r="U73" s="38"/>
      <c r="V73" s="38"/>
      <c r="W73" s="38"/>
      <c r="X73" s="43"/>
      <c r="Y73" s="48"/>
      <c r="Z73" s="66"/>
      <c r="AA73" s="65"/>
      <c r="AB73" s="72"/>
      <c r="AC73" s="71"/>
    </row>
    <row r="74" spans="1:29" ht="18" customHeight="1" x14ac:dyDescent="0.3">
      <c r="A74" s="43" t="s">
        <v>379</v>
      </c>
      <c r="B74" s="43" t="s">
        <v>379</v>
      </c>
      <c r="C74" s="44"/>
      <c r="D74" s="43" t="s">
        <v>123</v>
      </c>
      <c r="E74" s="69"/>
      <c r="F74" s="69"/>
      <c r="G74" s="67"/>
      <c r="H74" s="36"/>
      <c r="I74" s="45"/>
      <c r="J74" s="80"/>
      <c r="K74" s="53"/>
      <c r="L74" s="47">
        <v>0.5</v>
      </c>
      <c r="M74" s="37" t="s">
        <v>77</v>
      </c>
      <c r="N74" s="47">
        <v>0.5</v>
      </c>
      <c r="O74" s="37" t="s">
        <v>77</v>
      </c>
      <c r="P74" s="43">
        <v>25</v>
      </c>
      <c r="Q74" s="43">
        <v>10</v>
      </c>
      <c r="R74" s="53">
        <v>1</v>
      </c>
      <c r="S74" s="53">
        <v>0</v>
      </c>
      <c r="T74" s="38"/>
      <c r="U74" s="38"/>
      <c r="V74" s="38"/>
      <c r="W74" s="38"/>
      <c r="X74" s="43"/>
      <c r="Y74" s="48"/>
      <c r="Z74" s="66"/>
      <c r="AA74" s="65"/>
      <c r="AB74" s="72"/>
      <c r="AC74" s="71"/>
    </row>
    <row r="75" spans="1:29" ht="18" customHeight="1" x14ac:dyDescent="0.3">
      <c r="A75" s="43" t="s">
        <v>601</v>
      </c>
      <c r="B75" s="43" t="s">
        <v>601</v>
      </c>
      <c r="C75" s="44"/>
      <c r="D75" s="43" t="s">
        <v>123</v>
      </c>
      <c r="E75" s="69"/>
      <c r="F75" s="69"/>
      <c r="G75" s="67"/>
      <c r="H75" s="36"/>
      <c r="I75" s="45"/>
      <c r="J75" s="80" t="s">
        <v>74</v>
      </c>
      <c r="K75" s="53" t="s">
        <v>75</v>
      </c>
      <c r="L75" s="47">
        <v>0.48</v>
      </c>
      <c r="M75" s="37" t="s">
        <v>77</v>
      </c>
      <c r="N75" s="47">
        <v>0.48</v>
      </c>
      <c r="O75" s="37" t="s">
        <v>77</v>
      </c>
      <c r="P75" s="43">
        <v>25</v>
      </c>
      <c r="Q75" s="43">
        <v>15</v>
      </c>
      <c r="R75" s="53">
        <v>1</v>
      </c>
      <c r="S75" s="53">
        <v>0</v>
      </c>
      <c r="T75" s="38"/>
      <c r="U75" s="38"/>
      <c r="V75" s="38"/>
      <c r="W75" s="38"/>
      <c r="X75" s="43"/>
      <c r="Y75" s="48"/>
      <c r="Z75" s="66"/>
      <c r="AA75" s="65"/>
      <c r="AB75" s="72">
        <v>0.13500000000000001</v>
      </c>
      <c r="AC75" s="71">
        <v>0.14000000000000001</v>
      </c>
    </row>
    <row r="76" spans="1:29" ht="18" customHeight="1" x14ac:dyDescent="0.3">
      <c r="A76" s="43" t="s">
        <v>408</v>
      </c>
      <c r="B76" s="43" t="s">
        <v>408</v>
      </c>
      <c r="C76" s="44"/>
      <c r="D76" s="43" t="s">
        <v>123</v>
      </c>
      <c r="E76" s="69"/>
      <c r="F76" s="69"/>
      <c r="G76" s="67"/>
      <c r="H76" s="36"/>
      <c r="I76" s="45"/>
      <c r="J76" s="80" t="s">
        <v>74</v>
      </c>
      <c r="K76" s="53" t="s">
        <v>391</v>
      </c>
      <c r="L76" s="47">
        <v>0.5</v>
      </c>
      <c r="M76" s="37" t="s">
        <v>77</v>
      </c>
      <c r="N76" s="47">
        <v>0.5</v>
      </c>
      <c r="O76" s="37" t="s">
        <v>77</v>
      </c>
      <c r="P76" s="43">
        <v>25</v>
      </c>
      <c r="Q76" s="43">
        <v>15</v>
      </c>
      <c r="R76" s="53">
        <v>1</v>
      </c>
      <c r="S76" s="53"/>
      <c r="T76" s="38"/>
      <c r="U76" s="38"/>
      <c r="V76" s="38"/>
      <c r="W76" s="38"/>
      <c r="X76" s="43"/>
      <c r="Y76" s="48"/>
      <c r="Z76" s="66"/>
      <c r="AA76" s="65"/>
      <c r="AB76" s="72"/>
      <c r="AC76" s="71"/>
    </row>
    <row r="77" spans="1:29" ht="18" customHeight="1" x14ac:dyDescent="0.3">
      <c r="A77" s="43" t="s">
        <v>548</v>
      </c>
      <c r="B77" s="43" t="s">
        <v>548</v>
      </c>
      <c r="C77" s="44"/>
      <c r="D77" s="43"/>
      <c r="E77" s="69"/>
      <c r="F77" s="69"/>
      <c r="G77" s="67"/>
      <c r="H77" s="36"/>
      <c r="I77" s="45"/>
      <c r="J77" s="80"/>
      <c r="K77" s="53"/>
      <c r="L77" s="47">
        <v>0.45</v>
      </c>
      <c r="M77" s="37" t="s">
        <v>77</v>
      </c>
      <c r="N77" s="47">
        <v>0.45</v>
      </c>
      <c r="O77" s="37" t="s">
        <v>77</v>
      </c>
      <c r="P77" s="43">
        <v>25</v>
      </c>
      <c r="Q77" s="43">
        <v>15</v>
      </c>
      <c r="R77" s="53">
        <v>1</v>
      </c>
      <c r="S77" s="53"/>
      <c r="T77" s="38"/>
      <c r="U77" s="38"/>
      <c r="V77" s="38"/>
      <c r="W77" s="38"/>
      <c r="X77" s="43"/>
      <c r="Y77" s="48"/>
      <c r="Z77" s="66"/>
      <c r="AA77" s="65"/>
      <c r="AB77" s="72"/>
      <c r="AC77" s="71"/>
    </row>
    <row r="78" spans="1:29" ht="18" customHeight="1" x14ac:dyDescent="0.3">
      <c r="A78" s="43" t="s">
        <v>401</v>
      </c>
      <c r="B78" s="43" t="s">
        <v>401</v>
      </c>
      <c r="C78" s="44"/>
      <c r="D78" s="43" t="s">
        <v>123</v>
      </c>
      <c r="E78" s="69"/>
      <c r="F78" s="69"/>
      <c r="G78" s="67"/>
      <c r="H78" s="36"/>
      <c r="I78" s="45"/>
      <c r="J78" s="80" t="s">
        <v>74</v>
      </c>
      <c r="K78" s="53"/>
      <c r="L78" s="47">
        <v>0.47</v>
      </c>
      <c r="M78" s="37" t="s">
        <v>77</v>
      </c>
      <c r="N78" s="47">
        <v>0.47</v>
      </c>
      <c r="O78" s="37" t="s">
        <v>77</v>
      </c>
      <c r="P78" s="43">
        <v>25</v>
      </c>
      <c r="Q78" s="43">
        <v>10</v>
      </c>
      <c r="R78" s="53">
        <v>1</v>
      </c>
      <c r="S78" s="53"/>
      <c r="T78" s="38"/>
      <c r="U78" s="38"/>
      <c r="V78" s="38"/>
      <c r="W78" s="38"/>
      <c r="X78" s="43"/>
      <c r="Y78" s="48"/>
      <c r="Z78" s="66"/>
      <c r="AA78" s="65"/>
      <c r="AB78" s="72"/>
      <c r="AC78" s="71"/>
    </row>
    <row r="79" spans="1:29" ht="18" customHeight="1" x14ac:dyDescent="0.3">
      <c r="A79" s="43" t="s">
        <v>396</v>
      </c>
      <c r="B79" s="43" t="s">
        <v>396</v>
      </c>
      <c r="C79" s="44"/>
      <c r="D79" s="43" t="s">
        <v>123</v>
      </c>
      <c r="E79" s="69"/>
      <c r="F79" s="69"/>
      <c r="G79" s="67"/>
      <c r="H79" s="36"/>
      <c r="I79" s="45"/>
      <c r="J79" s="80" t="s">
        <v>74</v>
      </c>
      <c r="K79" s="53" t="s">
        <v>75</v>
      </c>
      <c r="L79" s="47">
        <v>0.48</v>
      </c>
      <c r="M79" s="37" t="s">
        <v>77</v>
      </c>
      <c r="N79" s="47">
        <v>0.48</v>
      </c>
      <c r="O79" s="37" t="s">
        <v>77</v>
      </c>
      <c r="P79" s="43">
        <v>25</v>
      </c>
      <c r="Q79" s="43">
        <v>15</v>
      </c>
      <c r="R79" s="53">
        <v>1</v>
      </c>
      <c r="S79" s="53">
        <v>0</v>
      </c>
      <c r="T79" s="38"/>
      <c r="U79" s="38"/>
      <c r="V79" s="38"/>
      <c r="W79" s="38"/>
      <c r="X79" s="43"/>
      <c r="Y79" s="48"/>
      <c r="Z79" s="66"/>
      <c r="AA79" s="65"/>
      <c r="AB79" s="72"/>
      <c r="AC79" s="71"/>
    </row>
    <row r="80" spans="1:29" ht="18" customHeight="1" x14ac:dyDescent="0.3">
      <c r="A80" s="43" t="s">
        <v>564</v>
      </c>
      <c r="B80" s="43" t="s">
        <v>564</v>
      </c>
      <c r="C80" s="44"/>
      <c r="D80" s="43"/>
      <c r="E80" s="69"/>
      <c r="F80" s="69"/>
      <c r="G80" s="67"/>
      <c r="H80" s="36"/>
      <c r="I80" s="45"/>
      <c r="J80" s="80"/>
      <c r="K80" s="53"/>
      <c r="L80" s="47">
        <v>0.5</v>
      </c>
      <c r="M80" s="37" t="s">
        <v>77</v>
      </c>
      <c r="N80" s="47">
        <v>0.5</v>
      </c>
      <c r="O80" s="37" t="s">
        <v>77</v>
      </c>
      <c r="P80" s="43">
        <v>28</v>
      </c>
      <c r="Q80" s="43">
        <v>15</v>
      </c>
      <c r="R80" s="53">
        <v>1</v>
      </c>
      <c r="S80" s="53"/>
      <c r="T80" s="38"/>
      <c r="U80" s="38"/>
      <c r="V80" s="38"/>
      <c r="W80" s="38"/>
      <c r="X80" s="43"/>
      <c r="Y80" s="48"/>
      <c r="Z80" s="66"/>
      <c r="AA80" s="65"/>
      <c r="AB80" s="72"/>
      <c r="AC80" s="71"/>
    </row>
    <row r="81" spans="1:29" ht="18" customHeight="1" x14ac:dyDescent="0.3">
      <c r="A81" s="43" t="s">
        <v>448</v>
      </c>
      <c r="B81" s="43" t="s">
        <v>448</v>
      </c>
      <c r="C81" s="44"/>
      <c r="D81" s="43" t="s">
        <v>123</v>
      </c>
      <c r="E81" s="69"/>
      <c r="F81" s="69"/>
      <c r="G81" s="67"/>
      <c r="H81" s="36"/>
      <c r="I81" s="45"/>
      <c r="J81" s="80" t="s">
        <v>74</v>
      </c>
      <c r="K81" s="53" t="s">
        <v>391</v>
      </c>
      <c r="L81" s="47">
        <v>0.5</v>
      </c>
      <c r="M81" s="37" t="s">
        <v>77</v>
      </c>
      <c r="N81" s="47">
        <v>0.5</v>
      </c>
      <c r="O81" s="37" t="s">
        <v>77</v>
      </c>
      <c r="P81" s="43">
        <v>28</v>
      </c>
      <c r="Q81" s="43">
        <v>15</v>
      </c>
      <c r="R81" s="53">
        <v>1</v>
      </c>
      <c r="S81" s="53"/>
      <c r="T81" s="38"/>
      <c r="U81" s="38"/>
      <c r="V81" s="38"/>
      <c r="W81" s="38"/>
      <c r="X81" s="43"/>
      <c r="Y81" s="48"/>
      <c r="Z81" s="66"/>
      <c r="AA81" s="65"/>
      <c r="AB81" s="72"/>
      <c r="AC81" s="71"/>
    </row>
    <row r="82" spans="1:29" ht="27" customHeight="1" x14ac:dyDescent="0.3">
      <c r="A82" s="43" t="s">
        <v>595</v>
      </c>
      <c r="B82" s="43" t="s">
        <v>596</v>
      </c>
      <c r="C82" s="44"/>
      <c r="D82" s="43"/>
      <c r="E82" s="69"/>
      <c r="F82" s="69"/>
      <c r="G82" s="67"/>
      <c r="H82" s="36"/>
      <c r="I82" s="45"/>
      <c r="J82" s="80"/>
      <c r="K82" s="53"/>
      <c r="L82" s="47">
        <v>0.48</v>
      </c>
      <c r="M82" s="37" t="s">
        <v>77</v>
      </c>
      <c r="N82" s="47">
        <v>0.48</v>
      </c>
      <c r="O82" s="37" t="s">
        <v>77</v>
      </c>
      <c r="P82" s="43">
        <v>25</v>
      </c>
      <c r="Q82" s="43">
        <v>17</v>
      </c>
      <c r="R82" s="53">
        <v>1</v>
      </c>
      <c r="S82" s="53"/>
      <c r="T82" s="38"/>
      <c r="U82" s="38"/>
      <c r="V82" s="38"/>
      <c r="W82" s="38"/>
      <c r="X82" s="43"/>
      <c r="Y82" s="48"/>
      <c r="Z82" s="66"/>
      <c r="AA82" s="65"/>
      <c r="AB82" s="72"/>
      <c r="AC82" s="71"/>
    </row>
    <row r="83" spans="1:29" ht="18" customHeight="1" x14ac:dyDescent="0.3">
      <c r="A83" s="43" t="s">
        <v>134</v>
      </c>
      <c r="B83" s="43" t="s">
        <v>134</v>
      </c>
      <c r="C83" s="44" t="s">
        <v>162</v>
      </c>
      <c r="D83" s="43" t="s">
        <v>120</v>
      </c>
      <c r="E83" s="69" t="s">
        <v>110</v>
      </c>
      <c r="F83" s="37" t="s">
        <v>118</v>
      </c>
      <c r="G83" s="67">
        <v>43040</v>
      </c>
      <c r="H83" s="36" t="s">
        <v>135</v>
      </c>
      <c r="I83" s="45">
        <v>5000000</v>
      </c>
      <c r="J83" s="46" t="s">
        <v>74</v>
      </c>
      <c r="K83" s="37" t="s">
        <v>75</v>
      </c>
      <c r="L83" s="47">
        <v>0.5</v>
      </c>
      <c r="M83" s="37" t="s">
        <v>76</v>
      </c>
      <c r="N83" s="47">
        <v>0.5</v>
      </c>
      <c r="O83" s="37" t="s">
        <v>77</v>
      </c>
      <c r="P83" s="43">
        <v>31</v>
      </c>
      <c r="Q83" s="43">
        <v>15</v>
      </c>
      <c r="R83" s="53">
        <v>1</v>
      </c>
      <c r="S83" s="53">
        <v>0</v>
      </c>
      <c r="T83" s="38"/>
      <c r="U83" s="38"/>
      <c r="V83" s="38" t="s">
        <v>147</v>
      </c>
      <c r="W83" s="38" t="s">
        <v>124</v>
      </c>
      <c r="X83" s="43"/>
      <c r="Y83" s="48"/>
      <c r="Z83" s="66"/>
      <c r="AA83" s="65"/>
      <c r="AB83" s="72">
        <v>0.125</v>
      </c>
      <c r="AC83" s="71">
        <v>0.13</v>
      </c>
    </row>
    <row r="84" spans="1:29" ht="18" customHeight="1" x14ac:dyDescent="0.3">
      <c r="A84" s="43" t="s">
        <v>68</v>
      </c>
      <c r="B84" s="43" t="s">
        <v>280</v>
      </c>
      <c r="C84" s="44" t="s">
        <v>69</v>
      </c>
      <c r="D84" s="43" t="s">
        <v>70</v>
      </c>
      <c r="E84" s="69" t="s">
        <v>71</v>
      </c>
      <c r="F84" s="37" t="s">
        <v>72</v>
      </c>
      <c r="G84" s="67">
        <v>42948</v>
      </c>
      <c r="H84" s="36" t="s">
        <v>73</v>
      </c>
      <c r="I84" s="45">
        <v>10000000</v>
      </c>
      <c r="J84" s="46" t="s">
        <v>74</v>
      </c>
      <c r="K84" s="37" t="s">
        <v>75</v>
      </c>
      <c r="L84" s="47">
        <v>0.5</v>
      </c>
      <c r="M84" s="37" t="s">
        <v>76</v>
      </c>
      <c r="N84" s="47">
        <v>0.5</v>
      </c>
      <c r="O84" s="37" t="s">
        <v>77</v>
      </c>
      <c r="P84" s="43">
        <v>7</v>
      </c>
      <c r="Q84" s="43">
        <v>17</v>
      </c>
      <c r="R84" s="53">
        <v>2</v>
      </c>
      <c r="S84" s="53">
        <v>0</v>
      </c>
      <c r="T84" s="38" t="s">
        <v>78</v>
      </c>
      <c r="U84" s="38"/>
      <c r="V84" s="38" t="s">
        <v>146</v>
      </c>
      <c r="W84" s="38" t="s">
        <v>79</v>
      </c>
      <c r="X84" s="43" t="s">
        <v>103</v>
      </c>
      <c r="Y84" s="48">
        <v>42599</v>
      </c>
      <c r="Z84" s="64" t="s">
        <v>80</v>
      </c>
      <c r="AA84" s="65">
        <v>42767</v>
      </c>
      <c r="AB84" s="72">
        <v>0.13500000000000001</v>
      </c>
      <c r="AC84" s="87">
        <v>0.14000000000000001</v>
      </c>
    </row>
    <row r="85" spans="1:29" ht="18" customHeight="1" x14ac:dyDescent="0.3">
      <c r="A85" s="43" t="s">
        <v>321</v>
      </c>
      <c r="B85" s="43" t="s">
        <v>321</v>
      </c>
      <c r="C85" s="44"/>
      <c r="D85" s="43"/>
      <c r="E85" s="69"/>
      <c r="F85" s="69"/>
      <c r="G85" s="67"/>
      <c r="H85" s="36"/>
      <c r="I85" s="45"/>
      <c r="J85" s="46"/>
      <c r="K85" s="37"/>
      <c r="L85" s="47">
        <v>0.5</v>
      </c>
      <c r="M85" s="37" t="s">
        <v>76</v>
      </c>
      <c r="N85" s="47">
        <v>0.5</v>
      </c>
      <c r="O85" s="37" t="s">
        <v>76</v>
      </c>
      <c r="P85" s="43">
        <v>7</v>
      </c>
      <c r="Q85" s="43">
        <v>15</v>
      </c>
      <c r="R85" s="53">
        <v>2</v>
      </c>
      <c r="S85" s="53">
        <v>0</v>
      </c>
      <c r="T85" s="66"/>
      <c r="U85" s="38"/>
      <c r="V85" s="38"/>
      <c r="W85" s="38"/>
      <c r="X85" s="43"/>
      <c r="Y85" s="48"/>
      <c r="Z85" s="64"/>
      <c r="AA85" s="65"/>
      <c r="AB85" s="87"/>
      <c r="AC85" s="87"/>
    </row>
    <row r="86" spans="1:29" ht="18" customHeight="1" x14ac:dyDescent="0.3">
      <c r="A86" s="43" t="s">
        <v>523</v>
      </c>
      <c r="B86" s="43" t="s">
        <v>523</v>
      </c>
      <c r="C86" s="44"/>
      <c r="D86" s="43"/>
      <c r="E86" s="69"/>
      <c r="F86" s="69"/>
      <c r="G86" s="67"/>
      <c r="H86" s="36"/>
      <c r="I86" s="45"/>
      <c r="J86" s="46"/>
      <c r="K86" s="37"/>
      <c r="L86" s="47">
        <v>0.5</v>
      </c>
      <c r="M86" s="37" t="s">
        <v>77</v>
      </c>
      <c r="N86" s="47">
        <v>0.5</v>
      </c>
      <c r="O86" s="37" t="s">
        <v>77</v>
      </c>
      <c r="P86" s="43">
        <v>28</v>
      </c>
      <c r="Q86" s="43">
        <v>15</v>
      </c>
      <c r="R86" s="53">
        <v>1</v>
      </c>
      <c r="S86" s="53"/>
      <c r="T86" s="66"/>
      <c r="U86" s="38"/>
      <c r="V86" s="38"/>
      <c r="W86" s="38"/>
      <c r="X86" s="43"/>
      <c r="Y86" s="48"/>
      <c r="Z86" s="64"/>
      <c r="AA86" s="65"/>
      <c r="AB86" s="87"/>
      <c r="AC86" s="87"/>
    </row>
    <row r="87" spans="1:29" ht="18" customHeight="1" x14ac:dyDescent="0.3">
      <c r="A87" s="43" t="s">
        <v>286</v>
      </c>
      <c r="B87" s="43" t="s">
        <v>287</v>
      </c>
      <c r="C87" s="44"/>
      <c r="D87" s="43"/>
      <c r="E87" s="69"/>
      <c r="F87" s="69"/>
      <c r="G87" s="67"/>
      <c r="H87" s="36"/>
      <c r="I87" s="45"/>
      <c r="J87" s="46"/>
      <c r="K87" s="37"/>
      <c r="L87" s="165">
        <v>0.47</v>
      </c>
      <c r="M87" s="37" t="s">
        <v>76</v>
      </c>
      <c r="N87" s="165">
        <v>0.47</v>
      </c>
      <c r="O87" s="37" t="s">
        <v>191</v>
      </c>
      <c r="P87" s="43">
        <v>28</v>
      </c>
      <c r="Q87" s="43">
        <v>15</v>
      </c>
      <c r="R87" s="53">
        <v>1</v>
      </c>
      <c r="S87" s="53">
        <v>0</v>
      </c>
      <c r="T87" s="66"/>
      <c r="U87" s="38"/>
      <c r="V87" s="38"/>
      <c r="W87" s="38"/>
      <c r="X87" s="43"/>
      <c r="Y87" s="48"/>
      <c r="Z87" s="64"/>
      <c r="AA87" s="65"/>
      <c r="AB87" s="87"/>
      <c r="AC87" s="87"/>
    </row>
    <row r="88" spans="1:29" ht="18" customHeight="1" x14ac:dyDescent="0.3">
      <c r="A88" s="43" t="s">
        <v>319</v>
      </c>
      <c r="B88" s="43" t="s">
        <v>320</v>
      </c>
      <c r="C88" s="44"/>
      <c r="D88" s="43"/>
      <c r="E88" s="69"/>
      <c r="F88" s="69"/>
      <c r="G88" s="67"/>
      <c r="H88" s="36"/>
      <c r="I88" s="45"/>
      <c r="J88" s="46"/>
      <c r="K88" s="37"/>
      <c r="L88" s="165">
        <v>0.45</v>
      </c>
      <c r="M88" s="37" t="s">
        <v>76</v>
      </c>
      <c r="N88" s="165">
        <v>0.45</v>
      </c>
      <c r="O88" s="37" t="s">
        <v>76</v>
      </c>
      <c r="P88" s="164">
        <v>25</v>
      </c>
      <c r="Q88" s="43">
        <v>15</v>
      </c>
      <c r="R88" s="53">
        <v>1</v>
      </c>
      <c r="S88" s="53">
        <v>0</v>
      </c>
      <c r="T88" s="66"/>
      <c r="U88" s="38"/>
      <c r="V88" s="38"/>
      <c r="W88" s="38"/>
      <c r="X88" s="43"/>
      <c r="Y88" s="48"/>
      <c r="Z88" s="64"/>
      <c r="AA88" s="65"/>
      <c r="AB88" s="87"/>
      <c r="AC88" s="87"/>
    </row>
    <row r="89" spans="1:29" ht="18" customHeight="1" x14ac:dyDescent="0.3">
      <c r="A89" s="43" t="s">
        <v>509</v>
      </c>
      <c r="B89" s="43" t="s">
        <v>510</v>
      </c>
      <c r="C89" s="44"/>
      <c r="D89" s="43"/>
      <c r="E89" s="69"/>
      <c r="F89" s="69"/>
      <c r="G89" s="67"/>
      <c r="H89" s="36"/>
      <c r="I89" s="45"/>
      <c r="J89" s="80"/>
      <c r="K89" s="53"/>
      <c r="L89" s="47">
        <v>0.45</v>
      </c>
      <c r="M89" s="37" t="s">
        <v>77</v>
      </c>
      <c r="N89" s="47">
        <v>0.45</v>
      </c>
      <c r="O89" s="37" t="s">
        <v>77</v>
      </c>
      <c r="P89" s="43">
        <v>20</v>
      </c>
      <c r="Q89" s="43">
        <v>15</v>
      </c>
      <c r="R89" s="53">
        <v>1</v>
      </c>
      <c r="S89" s="53">
        <v>0</v>
      </c>
      <c r="T89" s="38"/>
      <c r="U89" s="38"/>
      <c r="V89" s="38"/>
      <c r="W89" s="38"/>
      <c r="X89" s="43"/>
      <c r="Y89" s="48"/>
      <c r="Z89" s="66"/>
      <c r="AA89" s="65"/>
      <c r="AB89" s="72"/>
      <c r="AC89" s="87"/>
    </row>
    <row r="90" spans="1:29" ht="18" customHeight="1" x14ac:dyDescent="0.3">
      <c r="A90" s="43" t="s">
        <v>452</v>
      </c>
      <c r="B90" s="43" t="s">
        <v>453</v>
      </c>
      <c r="C90" s="44"/>
      <c r="D90" s="43"/>
      <c r="E90" s="69"/>
      <c r="F90" s="69"/>
      <c r="G90" s="67"/>
      <c r="H90" s="36"/>
      <c r="I90" s="45"/>
      <c r="J90" s="80"/>
      <c r="K90" s="53"/>
      <c r="L90" s="47">
        <v>0.5</v>
      </c>
      <c r="M90" s="37" t="s">
        <v>77</v>
      </c>
      <c r="N90" s="47">
        <v>0.5</v>
      </c>
      <c r="O90" s="37" t="s">
        <v>77</v>
      </c>
      <c r="P90" s="43">
        <v>28</v>
      </c>
      <c r="Q90" s="43">
        <v>15</v>
      </c>
      <c r="R90" s="53">
        <v>1</v>
      </c>
      <c r="S90" s="53">
        <v>0</v>
      </c>
      <c r="T90" s="38"/>
      <c r="U90" s="38"/>
      <c r="V90" s="38"/>
      <c r="W90" s="38"/>
      <c r="X90" s="43"/>
      <c r="Y90" s="48"/>
      <c r="Z90" s="66"/>
      <c r="AA90" s="65"/>
      <c r="AB90" s="72"/>
      <c r="AC90" s="87"/>
    </row>
    <row r="91" spans="1:29" ht="18" customHeight="1" x14ac:dyDescent="0.3">
      <c r="A91" s="43" t="s">
        <v>380</v>
      </c>
      <c r="B91" s="43" t="s">
        <v>381</v>
      </c>
      <c r="C91" s="44"/>
      <c r="D91" s="43"/>
      <c r="E91" s="69"/>
      <c r="F91" s="69"/>
      <c r="G91" s="67"/>
      <c r="H91" s="36"/>
      <c r="I91" s="45"/>
      <c r="J91" s="80"/>
      <c r="K91" s="53"/>
      <c r="L91" s="47">
        <v>0.5</v>
      </c>
      <c r="M91" s="37" t="s">
        <v>77</v>
      </c>
      <c r="N91" s="47">
        <v>0.5</v>
      </c>
      <c r="O91" s="37" t="s">
        <v>77</v>
      </c>
      <c r="P91" s="43">
        <v>25</v>
      </c>
      <c r="Q91" s="43">
        <v>10</v>
      </c>
      <c r="R91" s="53">
        <v>1</v>
      </c>
      <c r="S91" s="53">
        <v>0</v>
      </c>
      <c r="T91" s="38"/>
      <c r="U91" s="38"/>
      <c r="V91" s="38"/>
      <c r="W91" s="38"/>
      <c r="X91" s="43"/>
      <c r="Y91" s="48"/>
      <c r="Z91" s="66"/>
      <c r="AA91" s="65"/>
      <c r="AB91" s="72"/>
      <c r="AC91" s="87"/>
    </row>
    <row r="92" spans="1:29" ht="18" customHeight="1" x14ac:dyDescent="0.3">
      <c r="A92" s="43" t="s">
        <v>238</v>
      </c>
      <c r="B92" s="43" t="s">
        <v>239</v>
      </c>
      <c r="C92" s="44"/>
      <c r="D92" s="43" t="s">
        <v>123</v>
      </c>
      <c r="E92" s="69" t="s">
        <v>110</v>
      </c>
      <c r="F92" s="69" t="s">
        <v>110</v>
      </c>
      <c r="G92" s="67"/>
      <c r="H92" s="36" t="s">
        <v>240</v>
      </c>
      <c r="I92" s="45"/>
      <c r="J92" s="80" t="s">
        <v>74</v>
      </c>
      <c r="K92" s="53" t="s">
        <v>75</v>
      </c>
      <c r="L92" s="165">
        <v>0.45</v>
      </c>
      <c r="M92" s="37" t="s">
        <v>76</v>
      </c>
      <c r="N92" s="165">
        <v>0.45</v>
      </c>
      <c r="O92" s="37" t="s">
        <v>77</v>
      </c>
      <c r="P92" s="43">
        <v>25</v>
      </c>
      <c r="Q92" s="43">
        <v>15</v>
      </c>
      <c r="R92" s="53">
        <v>1</v>
      </c>
      <c r="S92" s="53">
        <v>0</v>
      </c>
      <c r="T92" s="38"/>
      <c r="U92" s="38"/>
      <c r="V92" s="38" t="s">
        <v>146</v>
      </c>
      <c r="W92" s="38"/>
      <c r="X92" s="43"/>
      <c r="Y92" s="48"/>
      <c r="Z92" s="66"/>
      <c r="AA92" s="65"/>
      <c r="AB92" s="72">
        <v>0.13</v>
      </c>
      <c r="AC92" s="87">
        <v>0.13250000000000001</v>
      </c>
    </row>
    <row r="93" spans="1:29" ht="18" customHeight="1" x14ac:dyDescent="0.3">
      <c r="A93" s="68" t="s">
        <v>109</v>
      </c>
      <c r="B93" s="68" t="s">
        <v>109</v>
      </c>
      <c r="C93" s="44" t="s">
        <v>111</v>
      </c>
      <c r="D93" s="43" t="s">
        <v>120</v>
      </c>
      <c r="E93" s="70" t="s">
        <v>110</v>
      </c>
      <c r="F93" s="68" t="s">
        <v>113</v>
      </c>
      <c r="G93" s="67">
        <v>43040</v>
      </c>
      <c r="H93" s="36" t="s">
        <v>114</v>
      </c>
      <c r="I93" s="45">
        <v>300000</v>
      </c>
      <c r="J93" s="46" t="s">
        <v>74</v>
      </c>
      <c r="K93" s="37" t="s">
        <v>75</v>
      </c>
      <c r="L93" s="47">
        <v>0.4</v>
      </c>
      <c r="M93" s="37" t="s">
        <v>76</v>
      </c>
      <c r="N93" s="47">
        <v>0.4</v>
      </c>
      <c r="O93" s="37" t="s">
        <v>76</v>
      </c>
      <c r="P93" s="66">
        <v>20</v>
      </c>
      <c r="Q93" s="43">
        <v>17</v>
      </c>
      <c r="R93" s="53">
        <v>1</v>
      </c>
      <c r="S93" s="53">
        <v>0</v>
      </c>
      <c r="T93" s="66" t="s">
        <v>115</v>
      </c>
      <c r="U93" s="66"/>
      <c r="V93" s="38" t="s">
        <v>146</v>
      </c>
      <c r="W93" s="66" t="s">
        <v>79</v>
      </c>
      <c r="X93" s="43" t="s">
        <v>116</v>
      </c>
      <c r="Y93" s="66"/>
      <c r="Z93" s="66" t="s">
        <v>117</v>
      </c>
      <c r="AA93" s="65">
        <v>42903</v>
      </c>
      <c r="AB93" s="47">
        <v>0.15</v>
      </c>
      <c r="AC93" s="87">
        <v>0.155</v>
      </c>
    </row>
    <row r="94" spans="1:29" ht="18" customHeight="1" x14ac:dyDescent="0.3">
      <c r="A94" s="43" t="s">
        <v>285</v>
      </c>
      <c r="B94" s="43" t="s">
        <v>295</v>
      </c>
      <c r="C94" s="44"/>
      <c r="D94" s="43" t="s">
        <v>154</v>
      </c>
      <c r="E94" s="69" t="s">
        <v>184</v>
      </c>
      <c r="F94" s="69" t="s">
        <v>184</v>
      </c>
      <c r="G94" s="67"/>
      <c r="H94" s="36" t="s">
        <v>190</v>
      </c>
      <c r="I94" s="45"/>
      <c r="J94" s="46" t="s">
        <v>74</v>
      </c>
      <c r="K94" s="37" t="s">
        <v>75</v>
      </c>
      <c r="L94" s="165">
        <v>0.45</v>
      </c>
      <c r="M94" s="37" t="s">
        <v>76</v>
      </c>
      <c r="N94" s="165">
        <v>0.45</v>
      </c>
      <c r="O94" s="37" t="s">
        <v>191</v>
      </c>
      <c r="P94" s="164">
        <v>23</v>
      </c>
      <c r="Q94" s="43">
        <v>15</v>
      </c>
      <c r="R94" s="53">
        <v>1</v>
      </c>
      <c r="S94" s="53">
        <v>0</v>
      </c>
      <c r="T94" s="66" t="s">
        <v>102</v>
      </c>
      <c r="U94" s="38"/>
      <c r="V94" s="38" t="s">
        <v>156</v>
      </c>
      <c r="W94" s="38"/>
      <c r="X94" s="43"/>
      <c r="Y94" s="48"/>
      <c r="Z94" s="64"/>
      <c r="AA94" s="65"/>
      <c r="AB94" s="87">
        <v>0.13500000000000001</v>
      </c>
      <c r="AC94" s="87">
        <v>0.13750000000000001</v>
      </c>
    </row>
    <row r="95" spans="1:29" ht="18" customHeight="1" x14ac:dyDescent="0.3">
      <c r="A95" s="43" t="s">
        <v>372</v>
      </c>
      <c r="B95" s="43" t="s">
        <v>372</v>
      </c>
      <c r="C95" s="44"/>
      <c r="D95" s="43"/>
      <c r="E95" s="69"/>
      <c r="F95" s="69"/>
      <c r="G95" s="67"/>
      <c r="H95" s="36"/>
      <c r="I95" s="45"/>
      <c r="J95" s="80" t="s">
        <v>74</v>
      </c>
      <c r="K95" s="53" t="s">
        <v>75</v>
      </c>
      <c r="L95" s="47">
        <v>0.5</v>
      </c>
      <c r="M95" s="37" t="s">
        <v>77</v>
      </c>
      <c r="N95" s="47">
        <v>0.5</v>
      </c>
      <c r="O95" s="37" t="s">
        <v>77</v>
      </c>
      <c r="P95" s="43">
        <v>25</v>
      </c>
      <c r="Q95" s="43">
        <v>15</v>
      </c>
      <c r="R95" s="53">
        <v>1</v>
      </c>
      <c r="S95" s="53">
        <v>0</v>
      </c>
      <c r="T95" s="38"/>
      <c r="U95" s="38"/>
      <c r="V95" s="38"/>
      <c r="W95" s="38"/>
      <c r="X95" s="43"/>
      <c r="Y95" s="48"/>
      <c r="Z95" s="66"/>
      <c r="AA95" s="65"/>
      <c r="AB95" s="72"/>
      <c r="AC95" s="87"/>
    </row>
    <row r="96" spans="1:29" ht="18" customHeight="1" x14ac:dyDescent="0.3">
      <c r="A96" s="43" t="s">
        <v>404</v>
      </c>
      <c r="B96" s="43" t="s">
        <v>621</v>
      </c>
      <c r="C96" s="44"/>
      <c r="D96" s="43"/>
      <c r="E96" s="69"/>
      <c r="F96" s="69"/>
      <c r="G96" s="67"/>
      <c r="H96" s="36"/>
      <c r="I96" s="45"/>
      <c r="J96" s="80" t="s">
        <v>74</v>
      </c>
      <c r="K96" s="53" t="s">
        <v>75</v>
      </c>
      <c r="L96" s="47">
        <v>0.42</v>
      </c>
      <c r="M96" s="37" t="s">
        <v>77</v>
      </c>
      <c r="N96" s="47">
        <v>0.42</v>
      </c>
      <c r="O96" s="37" t="s">
        <v>77</v>
      </c>
      <c r="P96" s="43">
        <v>25</v>
      </c>
      <c r="Q96" s="43">
        <v>15</v>
      </c>
      <c r="R96" s="53">
        <v>1</v>
      </c>
      <c r="S96" s="53">
        <v>0</v>
      </c>
      <c r="T96" s="38"/>
      <c r="U96" s="38"/>
      <c r="V96" s="38"/>
      <c r="W96" s="38"/>
      <c r="X96" s="43"/>
      <c r="Y96" s="48"/>
      <c r="Z96" s="66"/>
      <c r="AA96" s="65"/>
      <c r="AB96" s="72"/>
      <c r="AC96" s="87"/>
    </row>
    <row r="97" spans="1:30" ht="18" customHeight="1" x14ac:dyDescent="0.3">
      <c r="A97" s="43" t="s">
        <v>322</v>
      </c>
      <c r="B97" s="43" t="s">
        <v>322</v>
      </c>
      <c r="C97" s="44"/>
      <c r="D97" s="43"/>
      <c r="E97" s="69"/>
      <c r="F97" s="69"/>
      <c r="G97" s="67"/>
      <c r="H97" s="36"/>
      <c r="I97" s="45"/>
      <c r="J97" s="46"/>
      <c r="K97" s="37"/>
      <c r="L97" s="47">
        <v>0.5</v>
      </c>
      <c r="M97" s="37" t="s">
        <v>76</v>
      </c>
      <c r="N97" s="47">
        <v>0.5</v>
      </c>
      <c r="O97" s="37" t="s">
        <v>76</v>
      </c>
      <c r="P97" s="43">
        <v>28</v>
      </c>
      <c r="Q97" s="43">
        <v>15</v>
      </c>
      <c r="R97" s="53">
        <v>1</v>
      </c>
      <c r="S97" s="53">
        <v>0</v>
      </c>
      <c r="T97" s="66"/>
      <c r="U97" s="38"/>
      <c r="V97" s="38"/>
      <c r="W97" s="38"/>
      <c r="X97" s="43"/>
      <c r="Y97" s="48"/>
      <c r="Z97" s="64"/>
      <c r="AA97" s="65"/>
      <c r="AB97" s="87"/>
      <c r="AC97" s="87"/>
    </row>
    <row r="98" spans="1:30" ht="18" customHeight="1" x14ac:dyDescent="0.3">
      <c r="A98" s="43" t="s">
        <v>417</v>
      </c>
      <c r="B98" s="43" t="s">
        <v>418</v>
      </c>
      <c r="C98" s="44"/>
      <c r="D98" s="43"/>
      <c r="E98" s="69"/>
      <c r="F98" s="69"/>
      <c r="G98" s="67"/>
      <c r="H98" s="36"/>
      <c r="I98" s="45"/>
      <c r="J98" s="46"/>
      <c r="K98" s="37"/>
      <c r="L98" s="47">
        <v>0.3</v>
      </c>
      <c r="M98" s="37" t="s">
        <v>76</v>
      </c>
      <c r="N98" s="47">
        <v>0.3</v>
      </c>
      <c r="O98" s="37" t="s">
        <v>76</v>
      </c>
      <c r="P98" s="43">
        <v>1</v>
      </c>
      <c r="Q98" s="43">
        <v>15</v>
      </c>
      <c r="R98" s="53">
        <v>2</v>
      </c>
      <c r="S98" s="53"/>
      <c r="T98" s="66"/>
      <c r="U98" s="38"/>
      <c r="V98" s="38"/>
      <c r="W98" s="38"/>
      <c r="X98" s="43"/>
      <c r="Y98" s="48"/>
      <c r="Z98" s="64"/>
      <c r="AA98" s="65"/>
      <c r="AB98" s="87"/>
      <c r="AC98" s="87"/>
    </row>
    <row r="99" spans="1:30" ht="18" customHeight="1" x14ac:dyDescent="0.3">
      <c r="A99" s="43" t="s">
        <v>81</v>
      </c>
      <c r="B99" s="43" t="s">
        <v>81</v>
      </c>
      <c r="C99" s="44" t="s">
        <v>112</v>
      </c>
      <c r="D99" s="43" t="s">
        <v>81</v>
      </c>
      <c r="E99" s="69" t="s">
        <v>71</v>
      </c>
      <c r="F99" s="37" t="s">
        <v>127</v>
      </c>
      <c r="G99" s="67"/>
      <c r="H99" s="49" t="s">
        <v>82</v>
      </c>
      <c r="I99" s="45"/>
      <c r="J99" s="46" t="s">
        <v>74</v>
      </c>
      <c r="K99" s="37" t="s">
        <v>75</v>
      </c>
      <c r="L99" s="47">
        <v>0.4</v>
      </c>
      <c r="M99" s="37" t="s">
        <v>76</v>
      </c>
      <c r="N99" s="47">
        <v>0.4</v>
      </c>
      <c r="O99" s="37" t="s">
        <v>76</v>
      </c>
      <c r="P99" s="43">
        <v>20</v>
      </c>
      <c r="Q99" s="43">
        <v>17</v>
      </c>
      <c r="R99" s="53">
        <v>1</v>
      </c>
      <c r="S99" s="53">
        <v>0</v>
      </c>
      <c r="T99" s="38" t="s">
        <v>83</v>
      </c>
      <c r="U99" s="38" t="s">
        <v>84</v>
      </c>
      <c r="V99" s="38" t="s">
        <v>146</v>
      </c>
      <c r="W99" s="38" t="s">
        <v>79</v>
      </c>
      <c r="X99" s="43" t="s">
        <v>85</v>
      </c>
      <c r="Y99" s="48"/>
      <c r="Z99" s="64"/>
      <c r="AA99" s="65">
        <v>42856</v>
      </c>
      <c r="AB99" s="49" t="s">
        <v>82</v>
      </c>
      <c r="AC99" s="71">
        <v>0.14000000000000001</v>
      </c>
    </row>
    <row r="100" spans="1:30" ht="18" customHeight="1" x14ac:dyDescent="0.3">
      <c r="A100" s="43" t="s">
        <v>267</v>
      </c>
      <c r="B100" s="43" t="s">
        <v>268</v>
      </c>
      <c r="C100" s="44"/>
      <c r="D100" s="43" t="s">
        <v>123</v>
      </c>
      <c r="E100" s="69"/>
      <c r="F100" s="69"/>
      <c r="G100" s="67"/>
      <c r="H100" s="78"/>
      <c r="I100" s="45"/>
      <c r="J100" s="80" t="s">
        <v>74</v>
      </c>
      <c r="K100" s="53" t="s">
        <v>75</v>
      </c>
      <c r="L100" s="47">
        <v>0.5</v>
      </c>
      <c r="M100" s="37" t="s">
        <v>76</v>
      </c>
      <c r="N100" s="47">
        <v>0.5</v>
      </c>
      <c r="O100" s="37" t="s">
        <v>191</v>
      </c>
      <c r="P100" s="43">
        <v>28</v>
      </c>
      <c r="Q100" s="43">
        <v>15</v>
      </c>
      <c r="R100" s="53">
        <v>1</v>
      </c>
      <c r="S100" s="53">
        <v>0</v>
      </c>
      <c r="T100" s="38"/>
      <c r="U100" s="38"/>
      <c r="V100" s="38"/>
      <c r="W100" s="38"/>
      <c r="X100" s="43"/>
      <c r="Y100" s="48"/>
      <c r="Z100" s="66"/>
      <c r="AA100" s="65"/>
      <c r="AB100" s="72" t="s">
        <v>266</v>
      </c>
      <c r="AC100" s="87" t="s">
        <v>266</v>
      </c>
    </row>
    <row r="101" spans="1:30" s="227" customFormat="1" ht="18" customHeight="1" x14ac:dyDescent="0.3">
      <c r="A101" s="212" t="s">
        <v>302</v>
      </c>
      <c r="B101" s="212" t="s">
        <v>327</v>
      </c>
      <c r="C101" s="214"/>
      <c r="D101" s="212"/>
      <c r="E101" s="215"/>
      <c r="F101" s="215"/>
      <c r="G101" s="216"/>
      <c r="H101" s="217"/>
      <c r="I101" s="218"/>
      <c r="J101" s="219"/>
      <c r="K101" s="220"/>
      <c r="L101" s="211">
        <v>0.4</v>
      </c>
      <c r="M101" s="220" t="s">
        <v>76</v>
      </c>
      <c r="N101" s="211">
        <v>0.4</v>
      </c>
      <c r="O101" s="220" t="s">
        <v>191</v>
      </c>
      <c r="P101" s="212">
        <v>28</v>
      </c>
      <c r="Q101" s="212">
        <v>15</v>
      </c>
      <c r="R101" s="213">
        <v>1</v>
      </c>
      <c r="S101" s="213">
        <v>0</v>
      </c>
      <c r="T101" s="221"/>
      <c r="U101" s="222"/>
      <c r="V101" s="222"/>
      <c r="W101" s="222"/>
      <c r="X101" s="212"/>
      <c r="Y101" s="223"/>
      <c r="Z101" s="224"/>
      <c r="AA101" s="225"/>
      <c r="AB101" s="226"/>
      <c r="AC101" s="226"/>
    </row>
    <row r="102" spans="1:30" s="227" customFormat="1" ht="18" customHeight="1" x14ac:dyDescent="0.3">
      <c r="A102" s="212" t="s">
        <v>302</v>
      </c>
      <c r="B102" s="212" t="s">
        <v>326</v>
      </c>
      <c r="C102" s="214"/>
      <c r="D102" s="212"/>
      <c r="E102" s="215"/>
      <c r="F102" s="215"/>
      <c r="G102" s="216"/>
      <c r="H102" s="217"/>
      <c r="I102" s="218"/>
      <c r="J102" s="219"/>
      <c r="K102" s="220"/>
      <c r="L102" s="211">
        <v>0.5</v>
      </c>
      <c r="M102" s="220" t="s">
        <v>76</v>
      </c>
      <c r="N102" s="211">
        <v>0.5</v>
      </c>
      <c r="O102" s="220" t="s">
        <v>191</v>
      </c>
      <c r="P102" s="212">
        <v>28</v>
      </c>
      <c r="Q102" s="212">
        <v>15</v>
      </c>
      <c r="R102" s="213">
        <v>1</v>
      </c>
      <c r="S102" s="213">
        <v>0</v>
      </c>
      <c r="T102" s="221"/>
      <c r="U102" s="222"/>
      <c r="V102" s="222"/>
      <c r="W102" s="222"/>
      <c r="X102" s="212"/>
      <c r="Y102" s="223"/>
      <c r="Z102" s="224"/>
      <c r="AA102" s="225"/>
      <c r="AB102" s="226"/>
      <c r="AC102" s="226"/>
    </row>
    <row r="103" spans="1:30" s="227" customFormat="1" ht="18" customHeight="1" x14ac:dyDescent="0.3">
      <c r="A103" s="39" t="s">
        <v>302</v>
      </c>
      <c r="B103" s="39" t="s">
        <v>333</v>
      </c>
      <c r="C103" s="44"/>
      <c r="D103" s="43"/>
      <c r="E103" s="69"/>
      <c r="F103" s="69"/>
      <c r="G103" s="67"/>
      <c r="H103" s="36"/>
      <c r="I103" s="45"/>
      <c r="J103" s="46"/>
      <c r="K103" s="37"/>
      <c r="L103" s="47">
        <v>0.5</v>
      </c>
      <c r="M103" s="37" t="s">
        <v>76</v>
      </c>
      <c r="N103" s="47">
        <v>0.5</v>
      </c>
      <c r="O103" s="37" t="s">
        <v>191</v>
      </c>
      <c r="P103" s="43">
        <v>1</v>
      </c>
      <c r="Q103" s="43">
        <v>15</v>
      </c>
      <c r="R103" s="53">
        <v>2</v>
      </c>
      <c r="S103" s="53">
        <v>0</v>
      </c>
      <c r="T103" s="66"/>
      <c r="U103" s="38"/>
      <c r="V103" s="38"/>
      <c r="W103" s="38"/>
      <c r="X103" s="43"/>
      <c r="Y103" s="48"/>
      <c r="Z103" s="64"/>
      <c r="AA103" s="65"/>
      <c r="AB103" s="87"/>
      <c r="AC103" s="87"/>
      <c r="AD103"/>
    </row>
    <row r="104" spans="1:30" ht="18" customHeight="1" x14ac:dyDescent="0.3">
      <c r="A104" s="43" t="s">
        <v>402</v>
      </c>
      <c r="B104" s="43" t="s">
        <v>402</v>
      </c>
      <c r="C104" s="44"/>
      <c r="D104" s="43" t="s">
        <v>123</v>
      </c>
      <c r="E104" s="69"/>
      <c r="F104" s="69"/>
      <c r="G104" s="67"/>
      <c r="H104" s="36"/>
      <c r="I104" s="45"/>
      <c r="J104" s="80" t="s">
        <v>74</v>
      </c>
      <c r="K104" s="53" t="s">
        <v>391</v>
      </c>
      <c r="L104" s="47">
        <v>0.5</v>
      </c>
      <c r="M104" s="37" t="s">
        <v>77</v>
      </c>
      <c r="N104" s="47">
        <v>0.5</v>
      </c>
      <c r="O104" s="37" t="s">
        <v>77</v>
      </c>
      <c r="P104" s="43">
        <v>20</v>
      </c>
      <c r="Q104" s="43">
        <v>15</v>
      </c>
      <c r="R104" s="53">
        <v>1</v>
      </c>
      <c r="S104" s="53"/>
      <c r="T104" s="38"/>
      <c r="U104" s="38"/>
      <c r="V104" s="38"/>
      <c r="W104" s="38"/>
      <c r="X104" s="43"/>
      <c r="Y104" s="48"/>
      <c r="Z104" s="66"/>
      <c r="AA104" s="65"/>
      <c r="AB104" s="72"/>
      <c r="AC104" s="87"/>
    </row>
    <row r="105" spans="1:30" ht="18" customHeight="1" x14ac:dyDescent="0.3">
      <c r="A105" s="43" t="s">
        <v>337</v>
      </c>
      <c r="B105" s="43" t="s">
        <v>337</v>
      </c>
      <c r="C105" s="44"/>
      <c r="D105" s="43"/>
      <c r="E105" s="69"/>
      <c r="F105" s="69"/>
      <c r="G105" s="67"/>
      <c r="H105" s="36"/>
      <c r="I105" s="45"/>
      <c r="J105" s="46" t="s">
        <v>74</v>
      </c>
      <c r="K105" s="37" t="s">
        <v>75</v>
      </c>
      <c r="L105" s="47">
        <v>0.48</v>
      </c>
      <c r="M105" s="37" t="s">
        <v>76</v>
      </c>
      <c r="N105" s="47">
        <v>0.48</v>
      </c>
      <c r="O105" s="37" t="s">
        <v>191</v>
      </c>
      <c r="P105" s="43">
        <v>25</v>
      </c>
      <c r="Q105" s="43">
        <v>15</v>
      </c>
      <c r="R105" s="53">
        <v>1</v>
      </c>
      <c r="S105" s="53">
        <v>0</v>
      </c>
      <c r="T105" s="66" t="s">
        <v>102</v>
      </c>
      <c r="U105" s="38"/>
      <c r="V105" s="38" t="s">
        <v>156</v>
      </c>
      <c r="W105" s="38"/>
      <c r="X105" s="43"/>
      <c r="Y105" s="48"/>
      <c r="Z105" s="64"/>
      <c r="AA105" s="65"/>
      <c r="AB105" s="87">
        <v>0.13500000000000001</v>
      </c>
      <c r="AC105" s="87">
        <v>0.13750000000000001</v>
      </c>
    </row>
    <row r="106" spans="1:30" ht="18" customHeight="1" x14ac:dyDescent="0.3">
      <c r="A106" s="259" t="s">
        <v>467</v>
      </c>
      <c r="B106" s="259" t="s">
        <v>467</v>
      </c>
      <c r="C106" s="44"/>
      <c r="D106" s="43"/>
      <c r="E106" s="69"/>
      <c r="F106" s="69"/>
      <c r="G106" s="67"/>
      <c r="H106" s="36"/>
      <c r="I106" s="45"/>
      <c r="J106" s="80"/>
      <c r="K106" s="53"/>
      <c r="L106" s="47">
        <v>0.5</v>
      </c>
      <c r="M106" s="37" t="s">
        <v>77</v>
      </c>
      <c r="N106" s="47">
        <v>0.5</v>
      </c>
      <c r="O106" s="37" t="s">
        <v>77</v>
      </c>
      <c r="P106" s="43">
        <v>28</v>
      </c>
      <c r="Q106" s="43">
        <v>15</v>
      </c>
      <c r="R106" s="53">
        <v>1</v>
      </c>
      <c r="S106" s="53"/>
      <c r="T106" s="38"/>
      <c r="U106" s="38"/>
      <c r="V106" s="38"/>
      <c r="W106" s="38"/>
      <c r="X106" s="43"/>
      <c r="Y106" s="48"/>
      <c r="Z106" s="66"/>
      <c r="AA106" s="65"/>
      <c r="AB106" s="72"/>
      <c r="AC106" s="87"/>
    </row>
    <row r="107" spans="1:30" ht="18" customHeight="1" x14ac:dyDescent="0.3">
      <c r="A107" s="259" t="s">
        <v>521</v>
      </c>
      <c r="B107" s="259" t="s">
        <v>521</v>
      </c>
      <c r="C107" s="44"/>
      <c r="D107" s="43"/>
      <c r="E107" s="69"/>
      <c r="F107" s="69"/>
      <c r="G107" s="67"/>
      <c r="H107" s="36"/>
      <c r="I107" s="45"/>
      <c r="J107" s="80"/>
      <c r="K107" s="53"/>
      <c r="L107" s="47">
        <v>0.42</v>
      </c>
      <c r="M107" s="37" t="s">
        <v>77</v>
      </c>
      <c r="N107" s="47">
        <v>0.42</v>
      </c>
      <c r="O107" s="37" t="s">
        <v>77</v>
      </c>
      <c r="P107" s="43">
        <v>25</v>
      </c>
      <c r="Q107" s="43">
        <v>15</v>
      </c>
      <c r="R107" s="53">
        <v>1</v>
      </c>
      <c r="S107" s="53"/>
      <c r="T107" s="38"/>
      <c r="U107" s="38"/>
      <c r="V107" s="38"/>
      <c r="W107" s="38"/>
      <c r="X107" s="43"/>
      <c r="Y107" s="48"/>
      <c r="Z107" s="66"/>
      <c r="AA107" s="65"/>
      <c r="AB107" s="72"/>
      <c r="AC107" s="87"/>
    </row>
    <row r="108" spans="1:30" ht="18" customHeight="1" x14ac:dyDescent="0.3">
      <c r="A108" s="43" t="s">
        <v>454</v>
      </c>
      <c r="B108" s="43" t="s">
        <v>454</v>
      </c>
      <c r="C108" s="44"/>
      <c r="D108" s="43"/>
      <c r="E108" s="69"/>
      <c r="F108" s="69"/>
      <c r="G108" s="67"/>
      <c r="H108" s="36"/>
      <c r="I108" s="45"/>
      <c r="J108" s="46" t="s">
        <v>74</v>
      </c>
      <c r="K108" s="37" t="s">
        <v>455</v>
      </c>
      <c r="L108" s="47">
        <v>0.5</v>
      </c>
      <c r="M108" s="37" t="s">
        <v>77</v>
      </c>
      <c r="N108" s="47">
        <v>0.5</v>
      </c>
      <c r="O108" s="37" t="s">
        <v>77</v>
      </c>
      <c r="P108" s="43">
        <v>28</v>
      </c>
      <c r="Q108" s="43">
        <v>15</v>
      </c>
      <c r="R108" s="53">
        <v>1</v>
      </c>
      <c r="S108" s="53"/>
      <c r="T108" s="66"/>
      <c r="U108" s="38"/>
      <c r="V108" s="38"/>
      <c r="W108" s="38"/>
      <c r="X108" s="43"/>
      <c r="Y108" s="48"/>
      <c r="Z108" s="64"/>
      <c r="AA108" s="65"/>
      <c r="AB108" s="87"/>
      <c r="AC108" s="87"/>
    </row>
    <row r="109" spans="1:30" ht="18.75" customHeight="1" x14ac:dyDescent="0.3">
      <c r="A109" s="43" t="s">
        <v>382</v>
      </c>
      <c r="B109" s="43" t="s">
        <v>383</v>
      </c>
      <c r="C109" s="44"/>
      <c r="D109" s="43" t="s">
        <v>189</v>
      </c>
      <c r="E109" s="69" t="s">
        <v>184</v>
      </c>
      <c r="F109" s="69" t="s">
        <v>184</v>
      </c>
      <c r="G109" s="67"/>
      <c r="H109" s="36" t="s">
        <v>190</v>
      </c>
      <c r="I109" s="45"/>
      <c r="J109" s="46" t="s">
        <v>74</v>
      </c>
      <c r="K109" s="37" t="s">
        <v>75</v>
      </c>
      <c r="L109" s="47">
        <v>0.45</v>
      </c>
      <c r="M109" s="37" t="s">
        <v>76</v>
      </c>
      <c r="N109" s="47">
        <v>0.45</v>
      </c>
      <c r="O109" s="37" t="s">
        <v>191</v>
      </c>
      <c r="P109" s="43">
        <v>20</v>
      </c>
      <c r="Q109" s="43">
        <v>15</v>
      </c>
      <c r="R109" s="53">
        <v>1</v>
      </c>
      <c r="S109" s="53">
        <v>0</v>
      </c>
      <c r="T109" s="66" t="s">
        <v>102</v>
      </c>
      <c r="U109" s="38"/>
      <c r="V109" s="38" t="s">
        <v>156</v>
      </c>
      <c r="W109" s="38"/>
      <c r="X109" s="43"/>
      <c r="Y109" s="48"/>
      <c r="Z109" s="64"/>
      <c r="AA109" s="65"/>
      <c r="AB109" s="87">
        <v>0.13500000000000001</v>
      </c>
      <c r="AC109" s="87">
        <v>0.13750000000000001</v>
      </c>
    </row>
    <row r="110" spans="1:30" ht="18" customHeight="1" x14ac:dyDescent="0.3">
      <c r="A110" s="43" t="s">
        <v>265</v>
      </c>
      <c r="B110" s="43" t="s">
        <v>265</v>
      </c>
      <c r="C110" s="44"/>
      <c r="D110" s="43" t="s">
        <v>123</v>
      </c>
      <c r="E110" s="69"/>
      <c r="F110" s="69"/>
      <c r="G110" s="67"/>
      <c r="H110" s="78"/>
      <c r="I110" s="45"/>
      <c r="J110" s="80" t="s">
        <v>74</v>
      </c>
      <c r="K110" s="53" t="s">
        <v>75</v>
      </c>
      <c r="L110" s="47">
        <v>0.5</v>
      </c>
      <c r="M110" s="37" t="s">
        <v>77</v>
      </c>
      <c r="N110" s="47">
        <v>0.5</v>
      </c>
      <c r="O110" s="37" t="s">
        <v>191</v>
      </c>
      <c r="P110" s="43">
        <v>25</v>
      </c>
      <c r="Q110" s="43">
        <v>17</v>
      </c>
      <c r="R110" s="53">
        <v>1</v>
      </c>
      <c r="S110" s="53">
        <v>0</v>
      </c>
      <c r="T110" s="38"/>
      <c r="U110" s="38"/>
      <c r="V110" s="38"/>
      <c r="W110" s="38"/>
      <c r="X110" s="43"/>
      <c r="Y110" s="48"/>
      <c r="Z110" s="66"/>
      <c r="AA110" s="65"/>
      <c r="AB110" s="72" t="s">
        <v>266</v>
      </c>
      <c r="AC110" s="87" t="s">
        <v>266</v>
      </c>
    </row>
    <row r="111" spans="1:30" ht="18" customHeight="1" x14ac:dyDescent="0.3">
      <c r="A111" s="43" t="s">
        <v>407</v>
      </c>
      <c r="B111" s="43" t="s">
        <v>407</v>
      </c>
      <c r="C111" s="44"/>
      <c r="D111" s="43" t="s">
        <v>123</v>
      </c>
      <c r="E111" s="69"/>
      <c r="F111" s="69"/>
      <c r="G111" s="67"/>
      <c r="H111" s="36"/>
      <c r="I111" s="45"/>
      <c r="J111" s="80" t="s">
        <v>74</v>
      </c>
      <c r="K111" s="53" t="s">
        <v>409</v>
      </c>
      <c r="L111" s="47">
        <v>0.5</v>
      </c>
      <c r="M111" s="37" t="s">
        <v>77</v>
      </c>
      <c r="N111" s="47">
        <v>0.5</v>
      </c>
      <c r="O111" s="37" t="s">
        <v>77</v>
      </c>
      <c r="P111" s="43">
        <v>25</v>
      </c>
      <c r="Q111" s="43">
        <v>15</v>
      </c>
      <c r="R111" s="53">
        <v>1</v>
      </c>
      <c r="S111" s="53"/>
      <c r="T111" s="38"/>
      <c r="U111" s="38"/>
      <c r="V111" s="38"/>
      <c r="W111" s="38"/>
      <c r="X111" s="43"/>
      <c r="Y111" s="48"/>
      <c r="Z111" s="66"/>
      <c r="AA111" s="65"/>
      <c r="AB111" s="72"/>
      <c r="AC111" s="87"/>
    </row>
    <row r="112" spans="1:30" ht="18" customHeight="1" x14ac:dyDescent="0.3">
      <c r="A112" s="43" t="s">
        <v>188</v>
      </c>
      <c r="B112" s="43" t="s">
        <v>296</v>
      </c>
      <c r="C112" s="44"/>
      <c r="D112" s="43" t="s">
        <v>189</v>
      </c>
      <c r="E112" s="69" t="s">
        <v>184</v>
      </c>
      <c r="F112" s="69" t="s">
        <v>184</v>
      </c>
      <c r="G112" s="67"/>
      <c r="H112" s="36" t="s">
        <v>190</v>
      </c>
      <c r="I112" s="45"/>
      <c r="J112" s="46" t="s">
        <v>74</v>
      </c>
      <c r="K112" s="37" t="s">
        <v>75</v>
      </c>
      <c r="L112" s="47">
        <v>0.5</v>
      </c>
      <c r="M112" s="37" t="s">
        <v>76</v>
      </c>
      <c r="N112" s="47">
        <v>0.5</v>
      </c>
      <c r="O112" s="37" t="s">
        <v>191</v>
      </c>
      <c r="P112" s="43">
        <v>25</v>
      </c>
      <c r="Q112" s="43">
        <v>17</v>
      </c>
      <c r="R112" s="53">
        <v>1</v>
      </c>
      <c r="S112" s="53">
        <v>0</v>
      </c>
      <c r="T112" s="66" t="s">
        <v>102</v>
      </c>
      <c r="U112" s="38"/>
      <c r="V112" s="38" t="s">
        <v>156</v>
      </c>
      <c r="W112" s="38"/>
      <c r="X112" s="43"/>
      <c r="Y112" s="48"/>
      <c r="Z112" s="64"/>
      <c r="AA112" s="65"/>
      <c r="AB112" s="87">
        <v>0.13500000000000001</v>
      </c>
      <c r="AC112" s="87">
        <v>0.13750000000000001</v>
      </c>
    </row>
    <row r="113" spans="1:30" ht="18" customHeight="1" x14ac:dyDescent="0.3">
      <c r="A113" s="68" t="s">
        <v>193</v>
      </c>
      <c r="B113" s="43" t="s">
        <v>289</v>
      </c>
      <c r="C113" s="44"/>
      <c r="D113" s="68" t="s">
        <v>154</v>
      </c>
      <c r="E113" s="70" t="s">
        <v>106</v>
      </c>
      <c r="F113" s="70" t="s">
        <v>106</v>
      </c>
      <c r="G113" s="67"/>
      <c r="H113" s="36" t="s">
        <v>194</v>
      </c>
      <c r="I113" s="45">
        <v>4500000</v>
      </c>
      <c r="J113" s="46" t="s">
        <v>74</v>
      </c>
      <c r="K113" s="37" t="s">
        <v>75</v>
      </c>
      <c r="L113" s="47">
        <v>0.5</v>
      </c>
      <c r="M113" s="37" t="s">
        <v>76</v>
      </c>
      <c r="N113" s="47">
        <v>0.5</v>
      </c>
      <c r="O113" s="37" t="s">
        <v>76</v>
      </c>
      <c r="P113" s="66">
        <v>20</v>
      </c>
      <c r="Q113" s="43">
        <v>17</v>
      </c>
      <c r="R113" s="73">
        <v>1</v>
      </c>
      <c r="S113" s="53">
        <v>0</v>
      </c>
      <c r="T113" s="66" t="s">
        <v>102</v>
      </c>
      <c r="U113" s="66"/>
      <c r="V113" s="38" t="s">
        <v>156</v>
      </c>
      <c r="W113" s="66"/>
      <c r="X113" s="43"/>
      <c r="Y113" s="66"/>
      <c r="Z113" s="66"/>
      <c r="AA113" s="65"/>
      <c r="AB113" s="87">
        <v>0.155</v>
      </c>
      <c r="AC113" s="87">
        <v>0.15</v>
      </c>
    </row>
    <row r="114" spans="1:30" ht="18" customHeight="1" x14ac:dyDescent="0.3">
      <c r="A114" s="68" t="s">
        <v>554</v>
      </c>
      <c r="B114" s="68" t="s">
        <v>554</v>
      </c>
      <c r="C114" s="44"/>
      <c r="D114" s="68"/>
      <c r="E114" s="70"/>
      <c r="F114" s="70"/>
      <c r="G114" s="67"/>
      <c r="H114" s="36"/>
      <c r="I114" s="45"/>
      <c r="J114" s="46"/>
      <c r="K114" s="37"/>
      <c r="L114" s="47">
        <v>0.5</v>
      </c>
      <c r="M114" s="37" t="s">
        <v>77</v>
      </c>
      <c r="N114" s="47">
        <v>0.5</v>
      </c>
      <c r="O114" s="37" t="s">
        <v>77</v>
      </c>
      <c r="P114" s="66">
        <v>30</v>
      </c>
      <c r="Q114" s="43">
        <v>15</v>
      </c>
      <c r="R114" s="73">
        <v>1</v>
      </c>
      <c r="S114" s="53"/>
      <c r="T114" s="66"/>
      <c r="U114" s="66"/>
      <c r="V114" s="38"/>
      <c r="W114" s="66"/>
      <c r="X114" s="43"/>
      <c r="Y114" s="66"/>
      <c r="Z114" s="66"/>
      <c r="AA114" s="65"/>
      <c r="AB114" s="87"/>
      <c r="AC114" s="87"/>
    </row>
    <row r="115" spans="1:30" ht="18" customHeight="1" x14ac:dyDescent="0.3">
      <c r="A115" s="76" t="s">
        <v>153</v>
      </c>
      <c r="B115" s="43" t="s">
        <v>288</v>
      </c>
      <c r="C115" s="44" t="s">
        <v>179</v>
      </c>
      <c r="D115" s="76" t="s">
        <v>154</v>
      </c>
      <c r="E115" s="38" t="s">
        <v>155</v>
      </c>
      <c r="F115" s="53"/>
      <c r="G115" s="77"/>
      <c r="H115" s="78" t="s">
        <v>180</v>
      </c>
      <c r="I115" s="79"/>
      <c r="J115" s="80" t="s">
        <v>74</v>
      </c>
      <c r="K115" s="53" t="s">
        <v>75</v>
      </c>
      <c r="L115" s="165">
        <v>0.45</v>
      </c>
      <c r="M115" s="53" t="s">
        <v>76</v>
      </c>
      <c r="N115" s="165">
        <v>0.45</v>
      </c>
      <c r="O115" s="53" t="s">
        <v>77</v>
      </c>
      <c r="P115" s="76">
        <v>20</v>
      </c>
      <c r="Q115" s="76">
        <v>17</v>
      </c>
      <c r="R115" s="53">
        <v>1</v>
      </c>
      <c r="S115" s="53">
        <v>0</v>
      </c>
      <c r="T115" s="38"/>
      <c r="U115" s="38"/>
      <c r="V115" s="38" t="s">
        <v>181</v>
      </c>
      <c r="W115" s="38"/>
      <c r="X115" s="76"/>
      <c r="Y115" s="81"/>
      <c r="Z115" s="82"/>
      <c r="AA115" s="83"/>
      <c r="AB115" s="84">
        <v>0.1225</v>
      </c>
      <c r="AC115" s="229">
        <v>0.13250000000000001</v>
      </c>
      <c r="AD115" s="86"/>
    </row>
    <row r="116" spans="1:30" ht="18" customHeight="1" x14ac:dyDescent="0.3">
      <c r="A116" s="76" t="s">
        <v>555</v>
      </c>
      <c r="B116" s="76" t="s">
        <v>555</v>
      </c>
      <c r="C116" s="44"/>
      <c r="D116" s="76"/>
      <c r="E116" s="38"/>
      <c r="F116" s="53"/>
      <c r="G116" s="77"/>
      <c r="H116" s="78"/>
      <c r="I116" s="79"/>
      <c r="J116" s="80"/>
      <c r="K116" s="53"/>
      <c r="L116" s="47">
        <v>0.5</v>
      </c>
      <c r="M116" s="37" t="s">
        <v>77</v>
      </c>
      <c r="N116" s="47">
        <v>0.5</v>
      </c>
      <c r="O116" s="37" t="s">
        <v>77</v>
      </c>
      <c r="P116" s="76">
        <v>30</v>
      </c>
      <c r="Q116" s="76">
        <v>15</v>
      </c>
      <c r="R116" s="53">
        <v>1</v>
      </c>
      <c r="S116" s="53"/>
      <c r="T116" s="38"/>
      <c r="U116" s="38"/>
      <c r="V116" s="38"/>
      <c r="W116" s="38"/>
      <c r="X116" s="76"/>
      <c r="Y116" s="81"/>
      <c r="Z116" s="82"/>
      <c r="AA116" s="83"/>
      <c r="AB116" s="84"/>
      <c r="AC116" s="229"/>
      <c r="AD116" s="86"/>
    </row>
    <row r="117" spans="1:30" ht="18" customHeight="1" x14ac:dyDescent="0.3">
      <c r="A117" s="43" t="s">
        <v>377</v>
      </c>
      <c r="B117" s="43" t="s">
        <v>378</v>
      </c>
      <c r="C117" s="44"/>
      <c r="D117" s="43"/>
      <c r="E117" s="69"/>
      <c r="F117" s="69"/>
      <c r="G117" s="67"/>
      <c r="H117" s="36"/>
      <c r="I117" s="45"/>
      <c r="J117" s="80"/>
      <c r="K117" s="53"/>
      <c r="L117" s="47">
        <v>0.5</v>
      </c>
      <c r="M117" s="37" t="s">
        <v>77</v>
      </c>
      <c r="N117" s="47">
        <v>0.5</v>
      </c>
      <c r="O117" s="37" t="s">
        <v>77</v>
      </c>
      <c r="P117" s="43">
        <v>25</v>
      </c>
      <c r="Q117" s="43">
        <v>10</v>
      </c>
      <c r="R117" s="53">
        <v>1</v>
      </c>
      <c r="S117" s="53">
        <v>0</v>
      </c>
      <c r="T117" s="38"/>
      <c r="U117" s="38"/>
      <c r="V117" s="38"/>
      <c r="W117" s="38"/>
      <c r="X117" s="43"/>
      <c r="Y117" s="48"/>
      <c r="Z117" s="66"/>
      <c r="AA117" s="65"/>
      <c r="AB117" s="72"/>
      <c r="AC117" s="87"/>
    </row>
    <row r="118" spans="1:30" ht="18" customHeight="1" x14ac:dyDescent="0.3">
      <c r="A118" s="43" t="s">
        <v>415</v>
      </c>
      <c r="B118" s="43" t="s">
        <v>488</v>
      </c>
      <c r="C118" s="44"/>
      <c r="D118" s="43" t="s">
        <v>123</v>
      </c>
      <c r="E118" s="69"/>
      <c r="F118" s="69"/>
      <c r="G118" s="67"/>
      <c r="H118" s="36"/>
      <c r="I118" s="45"/>
      <c r="J118" s="80" t="s">
        <v>74</v>
      </c>
      <c r="K118" s="53" t="s">
        <v>409</v>
      </c>
      <c r="L118" s="47">
        <v>0.42</v>
      </c>
      <c r="M118" s="37" t="s">
        <v>77</v>
      </c>
      <c r="N118" s="47">
        <v>0.42</v>
      </c>
      <c r="O118" s="37" t="s">
        <v>77</v>
      </c>
      <c r="P118" s="43">
        <v>25</v>
      </c>
      <c r="Q118" s="43">
        <v>17</v>
      </c>
      <c r="R118" s="53">
        <v>1</v>
      </c>
      <c r="S118" s="53"/>
      <c r="T118" s="38"/>
      <c r="U118" s="38"/>
      <c r="V118" s="38"/>
      <c r="W118" s="38"/>
      <c r="X118" s="43"/>
      <c r="Y118" s="48"/>
      <c r="Z118" s="66"/>
      <c r="AA118" s="65"/>
      <c r="AB118" s="72"/>
      <c r="AC118" s="71"/>
    </row>
    <row r="119" spans="1:30" ht="18" customHeight="1" x14ac:dyDescent="0.3">
      <c r="A119" s="43" t="s">
        <v>415</v>
      </c>
      <c r="B119" s="43" t="s">
        <v>487</v>
      </c>
      <c r="C119" s="44"/>
      <c r="D119" s="43" t="s">
        <v>123</v>
      </c>
      <c r="E119" s="69"/>
      <c r="F119" s="69"/>
      <c r="G119" s="67"/>
      <c r="H119" s="36"/>
      <c r="I119" s="45"/>
      <c r="J119" s="80" t="s">
        <v>74</v>
      </c>
      <c r="K119" s="53" t="s">
        <v>409</v>
      </c>
      <c r="L119" s="47">
        <v>0.45</v>
      </c>
      <c r="M119" s="37" t="s">
        <v>77</v>
      </c>
      <c r="N119" s="47">
        <v>0.45</v>
      </c>
      <c r="O119" s="37" t="s">
        <v>77</v>
      </c>
      <c r="P119" s="43">
        <v>25</v>
      </c>
      <c r="Q119" s="43">
        <v>17</v>
      </c>
      <c r="R119" s="53">
        <v>1</v>
      </c>
      <c r="S119" s="53"/>
      <c r="T119" s="38"/>
      <c r="U119" s="38"/>
      <c r="V119" s="38"/>
      <c r="W119" s="38"/>
      <c r="X119" s="43"/>
      <c r="Y119" s="48"/>
      <c r="Z119" s="66"/>
      <c r="AA119" s="65"/>
      <c r="AB119" s="72"/>
      <c r="AC119" s="71"/>
    </row>
    <row r="120" spans="1:30" ht="18" customHeight="1" x14ac:dyDescent="0.3">
      <c r="A120" s="43" t="s">
        <v>329</v>
      </c>
      <c r="B120" s="43" t="s">
        <v>329</v>
      </c>
      <c r="C120" s="44" t="s">
        <v>330</v>
      </c>
      <c r="D120" s="43" t="s">
        <v>120</v>
      </c>
      <c r="E120" s="69" t="s">
        <v>110</v>
      </c>
      <c r="F120" s="69" t="s">
        <v>127</v>
      </c>
      <c r="G120" s="67"/>
      <c r="H120" s="47">
        <v>0.13</v>
      </c>
      <c r="I120" s="45"/>
      <c r="J120" s="80" t="s">
        <v>74</v>
      </c>
      <c r="K120" s="53" t="s">
        <v>251</v>
      </c>
      <c r="L120" s="47">
        <v>0.3</v>
      </c>
      <c r="M120" s="37" t="s">
        <v>76</v>
      </c>
      <c r="N120" s="47">
        <v>0.3</v>
      </c>
      <c r="O120" s="37" t="s">
        <v>331</v>
      </c>
      <c r="P120" s="43">
        <v>28</v>
      </c>
      <c r="Q120" s="43">
        <v>15</v>
      </c>
      <c r="R120" s="53">
        <v>1</v>
      </c>
      <c r="S120" s="53">
        <v>0</v>
      </c>
      <c r="T120" s="38"/>
      <c r="U120" s="38"/>
      <c r="V120" s="38" t="s">
        <v>332</v>
      </c>
      <c r="W120" s="38"/>
      <c r="X120" s="43"/>
      <c r="Y120" s="48"/>
      <c r="Z120" s="66"/>
      <c r="AA120" s="65"/>
      <c r="AB120" s="72"/>
      <c r="AC120" s="71"/>
    </row>
    <row r="121" spans="1:30" ht="18" customHeight="1" x14ac:dyDescent="0.3">
      <c r="A121" s="43" t="s">
        <v>368</v>
      </c>
      <c r="B121" s="43" t="s">
        <v>368</v>
      </c>
      <c r="C121" s="44"/>
      <c r="D121" s="43" t="s">
        <v>189</v>
      </c>
      <c r="E121" s="69" t="s">
        <v>184</v>
      </c>
      <c r="F121" s="69" t="s">
        <v>184</v>
      </c>
      <c r="G121" s="67"/>
      <c r="H121" s="36" t="s">
        <v>190</v>
      </c>
      <c r="I121" s="45"/>
      <c r="J121" s="46" t="s">
        <v>74</v>
      </c>
      <c r="K121" s="37" t="s">
        <v>75</v>
      </c>
      <c r="L121" s="47">
        <v>0.5</v>
      </c>
      <c r="M121" s="37" t="s">
        <v>76</v>
      </c>
      <c r="N121" s="47">
        <v>0.5</v>
      </c>
      <c r="O121" s="37" t="s">
        <v>191</v>
      </c>
      <c r="P121" s="43">
        <v>20</v>
      </c>
      <c r="Q121" s="43">
        <v>15</v>
      </c>
      <c r="R121" s="53">
        <v>1</v>
      </c>
      <c r="S121" s="53">
        <v>0</v>
      </c>
      <c r="T121" s="66" t="s">
        <v>102</v>
      </c>
      <c r="U121" s="38"/>
      <c r="V121" s="38" t="s">
        <v>156</v>
      </c>
      <c r="W121" s="38"/>
      <c r="X121" s="43"/>
      <c r="Y121" s="48"/>
      <c r="Z121" s="64"/>
      <c r="AA121" s="65"/>
      <c r="AB121" s="87">
        <v>0.13500000000000001</v>
      </c>
      <c r="AC121" s="71">
        <v>0.13750000000000001</v>
      </c>
    </row>
    <row r="122" spans="1:30" ht="18" customHeight="1" x14ac:dyDescent="0.3">
      <c r="A122" s="43" t="s">
        <v>513</v>
      </c>
      <c r="B122" s="43" t="s">
        <v>513</v>
      </c>
      <c r="C122" s="44"/>
      <c r="D122" s="43"/>
      <c r="E122" s="69"/>
      <c r="F122" s="69"/>
      <c r="G122" s="67"/>
      <c r="H122" s="36"/>
      <c r="I122" s="45"/>
      <c r="J122" s="46"/>
      <c r="K122" s="37"/>
      <c r="L122" s="47">
        <v>0.5</v>
      </c>
      <c r="M122" s="37" t="s">
        <v>77</v>
      </c>
      <c r="N122" s="47">
        <v>0.5</v>
      </c>
      <c r="O122" s="37" t="s">
        <v>77</v>
      </c>
      <c r="P122" s="43">
        <v>20</v>
      </c>
      <c r="Q122" s="43">
        <v>10</v>
      </c>
      <c r="R122" s="53">
        <v>1</v>
      </c>
      <c r="S122" s="53"/>
      <c r="T122" s="66"/>
      <c r="U122" s="38"/>
      <c r="V122" s="38"/>
      <c r="W122" s="38"/>
      <c r="X122" s="43"/>
      <c r="Y122" s="48"/>
      <c r="Z122" s="64"/>
      <c r="AA122" s="65"/>
      <c r="AB122" s="87"/>
      <c r="AC122" s="71"/>
    </row>
    <row r="123" spans="1:30" ht="18" customHeight="1" x14ac:dyDescent="0.3">
      <c r="A123" s="43" t="s">
        <v>335</v>
      </c>
      <c r="B123" s="43" t="s">
        <v>335</v>
      </c>
      <c r="C123" s="44"/>
      <c r="D123" s="43"/>
      <c r="E123" s="69"/>
      <c r="F123" s="69"/>
      <c r="G123" s="67"/>
      <c r="H123" s="36"/>
      <c r="I123" s="45"/>
      <c r="J123" s="46"/>
      <c r="K123" s="37"/>
      <c r="L123" s="47">
        <v>0.5</v>
      </c>
      <c r="M123" s="37" t="s">
        <v>76</v>
      </c>
      <c r="N123" s="47">
        <v>0.5</v>
      </c>
      <c r="O123" s="37" t="s">
        <v>76</v>
      </c>
      <c r="P123" s="43">
        <v>10</v>
      </c>
      <c r="Q123" s="43">
        <v>10</v>
      </c>
      <c r="R123" s="53">
        <v>1</v>
      </c>
      <c r="S123" s="53"/>
      <c r="T123" s="66"/>
      <c r="U123" s="38"/>
      <c r="V123" s="38"/>
      <c r="W123" s="38"/>
      <c r="X123" s="43"/>
      <c r="Y123" s="48"/>
      <c r="Z123" s="64"/>
      <c r="AA123" s="65"/>
      <c r="AB123" s="87"/>
      <c r="AC123" s="71"/>
    </row>
    <row r="124" spans="1:30" ht="18" customHeight="1" x14ac:dyDescent="0.3">
      <c r="A124" s="43" t="s">
        <v>307</v>
      </c>
      <c r="B124" s="43" t="s">
        <v>308</v>
      </c>
      <c r="C124" s="44"/>
      <c r="D124" s="43"/>
      <c r="E124" s="69"/>
      <c r="F124" s="69"/>
      <c r="G124" s="67"/>
      <c r="H124" s="36"/>
      <c r="I124" s="45"/>
      <c r="J124" s="46"/>
      <c r="K124" s="37"/>
      <c r="L124" s="165">
        <v>0.47</v>
      </c>
      <c r="M124" s="37" t="s">
        <v>76</v>
      </c>
      <c r="N124" s="165">
        <v>0.47</v>
      </c>
      <c r="O124" s="37" t="s">
        <v>76</v>
      </c>
      <c r="P124" s="164">
        <v>25</v>
      </c>
      <c r="Q124" s="43">
        <v>15</v>
      </c>
      <c r="R124" s="53">
        <v>1</v>
      </c>
      <c r="S124" s="53">
        <v>0</v>
      </c>
      <c r="T124" s="66"/>
      <c r="U124" s="38"/>
      <c r="V124" s="38"/>
      <c r="W124" s="38"/>
      <c r="X124" s="43"/>
      <c r="Y124" s="48"/>
      <c r="Z124" s="64"/>
      <c r="AA124" s="65"/>
      <c r="AB124" s="87"/>
      <c r="AC124" s="71"/>
    </row>
    <row r="125" spans="1:30" ht="18" customHeight="1" x14ac:dyDescent="0.3">
      <c r="A125" s="43" t="s">
        <v>362</v>
      </c>
      <c r="B125" s="43" t="s">
        <v>362</v>
      </c>
      <c r="C125" s="44"/>
      <c r="D125" s="43" t="s">
        <v>363</v>
      </c>
      <c r="E125" s="69" t="s">
        <v>110</v>
      </c>
      <c r="F125" s="37" t="s">
        <v>126</v>
      </c>
      <c r="G125" s="67"/>
      <c r="H125" s="36"/>
      <c r="I125" s="45"/>
      <c r="J125" s="46"/>
      <c r="K125" s="37"/>
      <c r="L125" s="47">
        <v>0.5</v>
      </c>
      <c r="M125" s="37" t="s">
        <v>76</v>
      </c>
      <c r="N125" s="47">
        <v>0.5</v>
      </c>
      <c r="O125" s="37" t="s">
        <v>76</v>
      </c>
      <c r="P125" s="43">
        <v>27</v>
      </c>
      <c r="Q125" s="43">
        <v>15</v>
      </c>
      <c r="R125" s="53">
        <v>1</v>
      </c>
      <c r="S125" s="53">
        <v>0</v>
      </c>
      <c r="T125" s="38"/>
      <c r="U125" s="38"/>
      <c r="V125" s="38" t="s">
        <v>148</v>
      </c>
      <c r="W125" s="38" t="s">
        <v>124</v>
      </c>
      <c r="X125" s="43"/>
      <c r="Y125" s="48"/>
      <c r="Z125" s="66"/>
      <c r="AA125" s="65"/>
      <c r="AB125" s="72">
        <v>0.125</v>
      </c>
      <c r="AC125" s="71">
        <v>0.13</v>
      </c>
    </row>
    <row r="126" spans="1:30" ht="18" customHeight="1" x14ac:dyDescent="0.3">
      <c r="A126" s="43" t="s">
        <v>122</v>
      </c>
      <c r="B126" s="43" t="s">
        <v>121</v>
      </c>
      <c r="C126" s="44"/>
      <c r="D126" s="43" t="s">
        <v>123</v>
      </c>
      <c r="E126" s="69" t="s">
        <v>110</v>
      </c>
      <c r="F126" s="37" t="s">
        <v>126</v>
      </c>
      <c r="G126" s="67"/>
      <c r="H126" s="36"/>
      <c r="I126" s="45"/>
      <c r="J126" s="46"/>
      <c r="K126" s="37"/>
      <c r="L126" s="47">
        <v>0.5</v>
      </c>
      <c r="M126" s="37" t="s">
        <v>76</v>
      </c>
      <c r="N126" s="47">
        <v>0.5</v>
      </c>
      <c r="O126" s="37" t="s">
        <v>77</v>
      </c>
      <c r="P126" s="43">
        <v>25</v>
      </c>
      <c r="Q126" s="43">
        <v>15</v>
      </c>
      <c r="R126" s="53">
        <v>1</v>
      </c>
      <c r="S126" s="53">
        <v>0</v>
      </c>
      <c r="T126" s="38"/>
      <c r="U126" s="38"/>
      <c r="V126" s="38" t="s">
        <v>148</v>
      </c>
      <c r="W126" s="38" t="s">
        <v>124</v>
      </c>
      <c r="X126" s="43"/>
      <c r="Y126" s="48"/>
      <c r="Z126" s="66"/>
      <c r="AA126" s="65"/>
      <c r="AB126" s="72">
        <v>0.125</v>
      </c>
      <c r="AC126" s="71">
        <v>0.13</v>
      </c>
    </row>
    <row r="127" spans="1:30" ht="18" customHeight="1" x14ac:dyDescent="0.3">
      <c r="A127" s="43" t="s">
        <v>547</v>
      </c>
      <c r="B127" s="43" t="s">
        <v>547</v>
      </c>
      <c r="C127" s="44"/>
      <c r="D127" s="43"/>
      <c r="E127" s="69"/>
      <c r="F127" s="37"/>
      <c r="G127" s="67"/>
      <c r="H127" s="36"/>
      <c r="I127" s="45"/>
      <c r="J127" s="46"/>
      <c r="K127" s="37"/>
      <c r="L127" s="47">
        <v>0.5</v>
      </c>
      <c r="M127" s="37" t="s">
        <v>77</v>
      </c>
      <c r="N127" s="47">
        <v>0.5</v>
      </c>
      <c r="O127" s="37" t="s">
        <v>77</v>
      </c>
      <c r="P127" s="43">
        <v>28</v>
      </c>
      <c r="Q127" s="43">
        <v>17</v>
      </c>
      <c r="R127" s="53">
        <v>1</v>
      </c>
      <c r="S127" s="53"/>
      <c r="T127" s="38"/>
      <c r="U127" s="38"/>
      <c r="V127" s="38"/>
      <c r="W127" s="38"/>
      <c r="X127" s="43"/>
      <c r="Y127" s="48"/>
      <c r="Z127" s="66"/>
      <c r="AA127" s="65"/>
      <c r="AB127" s="72"/>
      <c r="AC127" s="71"/>
    </row>
    <row r="128" spans="1:30" ht="18" customHeight="1" x14ac:dyDescent="0.3">
      <c r="A128" s="43" t="s">
        <v>150</v>
      </c>
      <c r="B128" s="43" t="s">
        <v>151</v>
      </c>
      <c r="C128" s="44"/>
      <c r="D128" s="43" t="s">
        <v>123</v>
      </c>
      <c r="E128" s="69" t="s">
        <v>110</v>
      </c>
      <c r="F128" s="37" t="s">
        <v>152</v>
      </c>
      <c r="G128" s="67"/>
      <c r="H128" s="36"/>
      <c r="I128" s="45"/>
      <c r="J128" s="46" t="s">
        <v>74</v>
      </c>
      <c r="K128" s="37" t="s">
        <v>75</v>
      </c>
      <c r="L128" s="165">
        <v>0.47</v>
      </c>
      <c r="M128" s="37" t="s">
        <v>76</v>
      </c>
      <c r="N128" s="165">
        <v>0.47</v>
      </c>
      <c r="O128" s="37" t="s">
        <v>77</v>
      </c>
      <c r="P128" s="43">
        <v>25</v>
      </c>
      <c r="Q128" s="43">
        <v>10</v>
      </c>
      <c r="R128" s="53">
        <v>1</v>
      </c>
      <c r="S128" s="53">
        <v>0</v>
      </c>
      <c r="T128" s="38"/>
      <c r="U128" s="38"/>
      <c r="V128" s="38" t="s">
        <v>146</v>
      </c>
      <c r="W128" s="38"/>
      <c r="X128" s="43"/>
      <c r="Y128" s="48"/>
      <c r="Z128" s="66"/>
      <c r="AA128" s="65"/>
      <c r="AB128" s="72">
        <v>0.13</v>
      </c>
      <c r="AC128" s="71">
        <v>0.13250000000000001</v>
      </c>
      <c r="AD128" t="s">
        <v>344</v>
      </c>
    </row>
    <row r="129" spans="1:29" ht="18" customHeight="1" x14ac:dyDescent="0.3">
      <c r="A129" s="43" t="s">
        <v>474</v>
      </c>
      <c r="B129" s="43" t="s">
        <v>474</v>
      </c>
      <c r="C129" s="44"/>
      <c r="D129" s="43"/>
      <c r="E129" s="69"/>
      <c r="F129" s="37"/>
      <c r="G129" s="67"/>
      <c r="H129" s="36"/>
      <c r="I129" s="45"/>
      <c r="J129" s="46"/>
      <c r="K129" s="37"/>
      <c r="L129" s="47">
        <v>0.5</v>
      </c>
      <c r="M129" s="37" t="s">
        <v>475</v>
      </c>
      <c r="N129" s="47">
        <v>0.5</v>
      </c>
      <c r="O129" s="37" t="s">
        <v>475</v>
      </c>
      <c r="P129" s="43">
        <v>17</v>
      </c>
      <c r="Q129" s="43">
        <v>15</v>
      </c>
      <c r="R129" s="53">
        <v>1</v>
      </c>
      <c r="S129" s="53">
        <v>0</v>
      </c>
      <c r="T129" s="38"/>
      <c r="U129" s="38"/>
      <c r="V129" s="38"/>
      <c r="W129" s="38"/>
      <c r="X129" s="43"/>
      <c r="Y129" s="48"/>
      <c r="Z129" s="66"/>
      <c r="AA129" s="65"/>
      <c r="AB129" s="72"/>
      <c r="AC129" s="87"/>
    </row>
    <row r="130" spans="1:29" ht="18" customHeight="1" x14ac:dyDescent="0.3">
      <c r="A130" s="43" t="s">
        <v>406</v>
      </c>
      <c r="B130" s="43" t="s">
        <v>406</v>
      </c>
      <c r="C130" s="44"/>
      <c r="D130" s="43"/>
      <c r="E130" s="69"/>
      <c r="F130" s="69"/>
      <c r="G130" s="67"/>
      <c r="H130" s="78"/>
      <c r="I130" s="45"/>
      <c r="J130" s="80"/>
      <c r="K130" s="53"/>
      <c r="L130" s="165">
        <v>0.5</v>
      </c>
      <c r="M130" s="37" t="s">
        <v>77</v>
      </c>
      <c r="N130" s="165">
        <v>0.5</v>
      </c>
      <c r="O130" s="37" t="s">
        <v>77</v>
      </c>
      <c r="P130" s="164">
        <v>25</v>
      </c>
      <c r="Q130" s="43">
        <v>10</v>
      </c>
      <c r="R130" s="53">
        <v>1</v>
      </c>
      <c r="S130" s="53"/>
      <c r="T130" s="38"/>
      <c r="U130" s="38"/>
      <c r="V130" s="38"/>
      <c r="W130" s="38"/>
      <c r="X130" s="43"/>
      <c r="Y130" s="48"/>
      <c r="Z130" s="66"/>
      <c r="AA130" s="65"/>
      <c r="AB130" s="72"/>
      <c r="AC130" s="87"/>
    </row>
    <row r="131" spans="1:29" ht="18" customHeight="1" x14ac:dyDescent="0.3">
      <c r="A131" s="43" t="s">
        <v>416</v>
      </c>
      <c r="B131" s="43" t="s">
        <v>416</v>
      </c>
      <c r="C131" s="44"/>
      <c r="D131" s="43"/>
      <c r="E131" s="69"/>
      <c r="F131" s="69"/>
      <c r="G131" s="67"/>
      <c r="H131" s="78"/>
      <c r="I131" s="45"/>
      <c r="J131" s="80"/>
      <c r="K131" s="53"/>
      <c r="L131" s="165">
        <v>0.45</v>
      </c>
      <c r="M131" s="37" t="s">
        <v>77</v>
      </c>
      <c r="N131" s="165">
        <v>0.45</v>
      </c>
      <c r="O131" s="37" t="s">
        <v>77</v>
      </c>
      <c r="P131" s="164">
        <v>25</v>
      </c>
      <c r="Q131" s="43">
        <v>10</v>
      </c>
      <c r="R131" s="53">
        <v>1</v>
      </c>
      <c r="S131" s="53">
        <v>0</v>
      </c>
      <c r="T131" s="38"/>
      <c r="U131" s="38"/>
      <c r="V131" s="38"/>
      <c r="W131" s="38"/>
      <c r="X131" s="43"/>
      <c r="Y131" s="48"/>
      <c r="Z131" s="66"/>
      <c r="AA131" s="65"/>
      <c r="AB131" s="72"/>
      <c r="AC131" s="87"/>
    </row>
    <row r="132" spans="1:29" ht="18" customHeight="1" x14ac:dyDescent="0.3">
      <c r="A132" s="43" t="s">
        <v>431</v>
      </c>
      <c r="B132" s="43" t="s">
        <v>431</v>
      </c>
      <c r="C132" s="44"/>
      <c r="D132" s="43"/>
      <c r="E132" s="69"/>
      <c r="F132" s="69"/>
      <c r="G132" s="67"/>
      <c r="H132" s="78"/>
      <c r="I132" s="45"/>
      <c r="J132" s="80"/>
      <c r="K132" s="53"/>
      <c r="L132" s="165">
        <v>0.5</v>
      </c>
      <c r="M132" s="37" t="s">
        <v>77</v>
      </c>
      <c r="N132" s="165">
        <v>0.5</v>
      </c>
      <c r="O132" s="37" t="s">
        <v>77</v>
      </c>
      <c r="P132" s="164">
        <v>20</v>
      </c>
      <c r="Q132" s="43">
        <v>10</v>
      </c>
      <c r="R132" s="53">
        <v>1</v>
      </c>
      <c r="S132" s="53"/>
      <c r="T132" s="38"/>
      <c r="U132" s="38"/>
      <c r="V132" s="38"/>
      <c r="W132" s="38"/>
      <c r="X132" s="43"/>
      <c r="Y132" s="48"/>
      <c r="Z132" s="66"/>
      <c r="AA132" s="65"/>
      <c r="AB132" s="72"/>
      <c r="AC132" s="87"/>
    </row>
    <row r="133" spans="1:29" ht="18" customHeight="1" x14ac:dyDescent="0.3">
      <c r="A133" s="43" t="s">
        <v>538</v>
      </c>
      <c r="B133" s="43" t="s">
        <v>539</v>
      </c>
      <c r="C133" s="44"/>
      <c r="D133" s="43"/>
      <c r="E133" s="69"/>
      <c r="F133" s="69"/>
      <c r="G133" s="67"/>
      <c r="H133" s="78"/>
      <c r="I133" s="45"/>
      <c r="J133" s="80"/>
      <c r="K133" s="53"/>
      <c r="L133" s="165">
        <v>0.5</v>
      </c>
      <c r="M133" s="37" t="s">
        <v>77</v>
      </c>
      <c r="N133" s="165">
        <v>0.5</v>
      </c>
      <c r="O133" s="37" t="s">
        <v>77</v>
      </c>
      <c r="P133" s="164">
        <v>27</v>
      </c>
      <c r="Q133" s="43">
        <v>15</v>
      </c>
      <c r="R133" s="53">
        <v>1</v>
      </c>
      <c r="S133" s="53"/>
      <c r="T133" s="38"/>
      <c r="U133" s="38"/>
      <c r="V133" s="38"/>
      <c r="W133" s="38"/>
      <c r="X133" s="43"/>
      <c r="Y133" s="48"/>
      <c r="Z133" s="66"/>
      <c r="AA133" s="65"/>
      <c r="AB133" s="72"/>
      <c r="AC133" s="87"/>
    </row>
    <row r="134" spans="1:29" ht="18" customHeight="1" x14ac:dyDescent="0.3">
      <c r="A134" s="43" t="s">
        <v>469</v>
      </c>
      <c r="B134" s="43" t="s">
        <v>470</v>
      </c>
      <c r="C134" s="44"/>
      <c r="D134" s="43"/>
      <c r="E134" s="69"/>
      <c r="F134" s="69"/>
      <c r="G134" s="67"/>
      <c r="H134" s="36"/>
      <c r="I134" s="45"/>
      <c r="J134" s="80"/>
      <c r="K134" s="53"/>
      <c r="L134" s="47">
        <v>0.5</v>
      </c>
      <c r="M134" s="37" t="s">
        <v>77</v>
      </c>
      <c r="N134" s="47">
        <v>0.5</v>
      </c>
      <c r="O134" s="37" t="s">
        <v>77</v>
      </c>
      <c r="P134" s="43">
        <v>20</v>
      </c>
      <c r="Q134" s="43">
        <v>15</v>
      </c>
      <c r="R134" s="53">
        <v>1</v>
      </c>
      <c r="S134" s="53"/>
      <c r="T134" s="38"/>
      <c r="U134" s="38"/>
      <c r="V134" s="38"/>
      <c r="W134" s="38"/>
      <c r="X134" s="43"/>
      <c r="Y134" s="48"/>
      <c r="Z134" s="66"/>
      <c r="AA134" s="65"/>
      <c r="AB134" s="72"/>
      <c r="AC134" s="87"/>
    </row>
    <row r="135" spans="1:29" ht="18" customHeight="1" x14ac:dyDescent="0.3">
      <c r="A135" s="43" t="s">
        <v>623</v>
      </c>
      <c r="B135" s="43" t="s">
        <v>623</v>
      </c>
      <c r="C135" s="44"/>
      <c r="D135" s="43"/>
      <c r="E135" s="69"/>
      <c r="F135" s="69"/>
      <c r="G135" s="67"/>
      <c r="H135" s="36"/>
      <c r="I135" s="45"/>
      <c r="J135" s="80"/>
      <c r="K135" s="53"/>
      <c r="L135" s="47">
        <v>0.5</v>
      </c>
      <c r="M135" s="37" t="s">
        <v>77</v>
      </c>
      <c r="N135" s="47">
        <v>0.5</v>
      </c>
      <c r="O135" s="37" t="s">
        <v>77</v>
      </c>
      <c r="P135" s="43">
        <v>27</v>
      </c>
      <c r="Q135" s="43">
        <v>17</v>
      </c>
      <c r="R135" s="53">
        <v>1</v>
      </c>
      <c r="S135" s="53"/>
      <c r="T135" s="38"/>
      <c r="U135" s="38"/>
      <c r="V135" s="38"/>
      <c r="W135" s="38"/>
      <c r="X135" s="43"/>
      <c r="Y135" s="48"/>
      <c r="Z135" s="66"/>
      <c r="AA135" s="65"/>
      <c r="AB135" s="72"/>
      <c r="AC135" s="87"/>
    </row>
    <row r="136" spans="1:29" ht="18" customHeight="1" x14ac:dyDescent="0.3">
      <c r="A136" s="43" t="s">
        <v>462</v>
      </c>
      <c r="B136" s="43" t="s">
        <v>462</v>
      </c>
      <c r="C136" s="44"/>
      <c r="D136" s="43"/>
      <c r="E136" s="69"/>
      <c r="F136" s="69"/>
      <c r="G136" s="67"/>
      <c r="H136" s="78"/>
      <c r="I136" s="45"/>
      <c r="J136" s="80"/>
      <c r="K136" s="53"/>
      <c r="L136" s="165">
        <v>0.5</v>
      </c>
      <c r="M136" s="37" t="s">
        <v>77</v>
      </c>
      <c r="N136" s="165">
        <v>0.5</v>
      </c>
      <c r="O136" s="37" t="s">
        <v>77</v>
      </c>
      <c r="P136" s="164">
        <v>25</v>
      </c>
      <c r="Q136" s="43">
        <v>10</v>
      </c>
      <c r="R136" s="53">
        <v>1</v>
      </c>
      <c r="S136" s="53"/>
      <c r="T136" s="38"/>
      <c r="U136" s="38"/>
      <c r="V136" s="38"/>
      <c r="W136" s="38"/>
      <c r="X136" s="43"/>
      <c r="Y136" s="48"/>
      <c r="Z136" s="66"/>
      <c r="AA136" s="65"/>
      <c r="AB136" s="72"/>
      <c r="AC136" s="87"/>
    </row>
    <row r="137" spans="1:29" ht="18" customHeight="1" x14ac:dyDescent="0.3">
      <c r="A137" s="43" t="s">
        <v>471</v>
      </c>
      <c r="B137" s="43" t="s">
        <v>471</v>
      </c>
      <c r="C137" s="44"/>
      <c r="D137" s="43"/>
      <c r="E137" s="69"/>
      <c r="F137" s="69"/>
      <c r="G137" s="67"/>
      <c r="H137" s="78"/>
      <c r="I137" s="45"/>
      <c r="J137" s="80"/>
      <c r="K137" s="53"/>
      <c r="L137" s="165">
        <v>0.48</v>
      </c>
      <c r="M137" s="37" t="s">
        <v>77</v>
      </c>
      <c r="N137" s="165">
        <v>0.48</v>
      </c>
      <c r="O137" s="37" t="s">
        <v>77</v>
      </c>
      <c r="P137" s="164">
        <v>19</v>
      </c>
      <c r="Q137" s="43">
        <v>15</v>
      </c>
      <c r="R137" s="53">
        <v>1</v>
      </c>
      <c r="S137" s="53"/>
      <c r="T137" s="38"/>
      <c r="U137" s="38"/>
      <c r="V137" s="38"/>
      <c r="W137" s="38"/>
      <c r="X137" s="43"/>
      <c r="Y137" s="48"/>
      <c r="Z137" s="66"/>
      <c r="AA137" s="65"/>
      <c r="AB137" s="72"/>
      <c r="AC137" s="87"/>
    </row>
    <row r="138" spans="1:29" ht="18" customHeight="1" x14ac:dyDescent="0.3">
      <c r="A138" s="43" t="s">
        <v>461</v>
      </c>
      <c r="B138" s="43" t="s">
        <v>461</v>
      </c>
      <c r="C138" s="44"/>
      <c r="D138" s="43"/>
      <c r="E138" s="69"/>
      <c r="F138" s="69"/>
      <c r="G138" s="67"/>
      <c r="H138" s="78"/>
      <c r="I138" s="45"/>
      <c r="J138" s="80"/>
      <c r="K138" s="53"/>
      <c r="L138" s="165">
        <v>0.5</v>
      </c>
      <c r="M138" s="37" t="s">
        <v>77</v>
      </c>
      <c r="N138" s="165">
        <v>0.5</v>
      </c>
      <c r="O138" s="37" t="s">
        <v>77</v>
      </c>
      <c r="P138" s="164">
        <v>28</v>
      </c>
      <c r="Q138" s="43">
        <v>15</v>
      </c>
      <c r="R138" s="53">
        <v>1</v>
      </c>
      <c r="S138" s="53"/>
      <c r="T138" s="38"/>
      <c r="U138" s="38"/>
      <c r="V138" s="38"/>
      <c r="W138" s="38"/>
      <c r="X138" s="43"/>
      <c r="Y138" s="48"/>
      <c r="Z138" s="66"/>
      <c r="AA138" s="65"/>
      <c r="AB138" s="72"/>
      <c r="AC138" s="87"/>
    </row>
    <row r="139" spans="1:29" ht="18" customHeight="1" x14ac:dyDescent="0.3">
      <c r="A139" s="43" t="s">
        <v>615</v>
      </c>
      <c r="B139" s="43" t="s">
        <v>615</v>
      </c>
      <c r="C139" s="44"/>
      <c r="D139" s="43"/>
      <c r="E139" s="69"/>
      <c r="F139" s="69"/>
      <c r="G139" s="67"/>
      <c r="H139" s="78"/>
      <c r="I139" s="45"/>
      <c r="J139" s="80"/>
      <c r="K139" s="53"/>
      <c r="L139" s="165">
        <v>0.5</v>
      </c>
      <c r="M139" s="37" t="s">
        <v>77</v>
      </c>
      <c r="N139" s="165">
        <v>0.5</v>
      </c>
      <c r="O139" s="37" t="s">
        <v>77</v>
      </c>
      <c r="P139" s="164">
        <v>25</v>
      </c>
      <c r="Q139" s="43">
        <v>17</v>
      </c>
      <c r="R139" s="53">
        <v>1</v>
      </c>
      <c r="S139" s="53"/>
      <c r="T139" s="38"/>
      <c r="U139" s="38"/>
      <c r="V139" s="38"/>
      <c r="W139" s="38"/>
      <c r="X139" s="43"/>
      <c r="Y139" s="48"/>
      <c r="Z139" s="66"/>
      <c r="AA139" s="65"/>
      <c r="AB139" s="72"/>
      <c r="AC139" s="87"/>
    </row>
    <row r="140" spans="1:29" ht="17.25" customHeight="1" x14ac:dyDescent="0.3">
      <c r="A140" s="43" t="s">
        <v>482</v>
      </c>
      <c r="B140" s="43" t="s">
        <v>482</v>
      </c>
      <c r="C140" s="44"/>
      <c r="D140" s="43"/>
      <c r="E140" s="69"/>
      <c r="F140" s="69"/>
      <c r="G140" s="67"/>
      <c r="H140" s="78"/>
      <c r="I140" s="45"/>
      <c r="J140" s="80"/>
      <c r="K140" s="53"/>
      <c r="L140" s="165">
        <v>0.5</v>
      </c>
      <c r="M140" s="37" t="s">
        <v>77</v>
      </c>
      <c r="N140" s="165">
        <v>0.5</v>
      </c>
      <c r="O140" s="37" t="s">
        <v>77</v>
      </c>
      <c r="P140" s="164">
        <v>20</v>
      </c>
      <c r="Q140" s="43">
        <v>17</v>
      </c>
      <c r="R140" s="53">
        <v>1</v>
      </c>
      <c r="S140" s="53"/>
      <c r="T140" s="38"/>
      <c r="U140" s="38"/>
      <c r="V140" s="38"/>
      <c r="W140" s="38"/>
      <c r="X140" s="43"/>
      <c r="Y140" s="48"/>
      <c r="Z140" s="66"/>
      <c r="AA140" s="65"/>
      <c r="AB140" s="72"/>
      <c r="AC140" s="87"/>
    </row>
    <row r="141" spans="1:29" ht="17.25" customHeight="1" x14ac:dyDescent="0.3">
      <c r="A141" s="43" t="s">
        <v>450</v>
      </c>
      <c r="B141" s="43" t="s">
        <v>450</v>
      </c>
      <c r="C141" s="44"/>
      <c r="D141" s="43" t="s">
        <v>123</v>
      </c>
      <c r="E141" s="69" t="s">
        <v>110</v>
      </c>
      <c r="F141" s="69" t="s">
        <v>110</v>
      </c>
      <c r="G141" s="67"/>
      <c r="H141" s="36"/>
      <c r="I141" s="45"/>
      <c r="J141" s="80" t="s">
        <v>74</v>
      </c>
      <c r="K141" s="53" t="s">
        <v>451</v>
      </c>
      <c r="L141" s="47">
        <v>0.5</v>
      </c>
      <c r="M141" s="37" t="s">
        <v>77</v>
      </c>
      <c r="N141" s="47">
        <v>0.5</v>
      </c>
      <c r="O141" s="37" t="s">
        <v>77</v>
      </c>
      <c r="P141" s="43">
        <v>20</v>
      </c>
      <c r="Q141" s="43">
        <v>15</v>
      </c>
      <c r="R141" s="53">
        <v>1</v>
      </c>
      <c r="S141" s="53">
        <v>0</v>
      </c>
      <c r="T141" s="38"/>
      <c r="U141" s="38"/>
      <c r="V141" s="38" t="s">
        <v>146</v>
      </c>
      <c r="W141" s="38"/>
      <c r="X141" s="43"/>
      <c r="Y141" s="48"/>
      <c r="Z141" s="66"/>
      <c r="AA141" s="65"/>
      <c r="AB141" s="72">
        <v>0.19500000000000001</v>
      </c>
      <c r="AC141" s="87">
        <v>0.2</v>
      </c>
    </row>
    <row r="142" spans="1:29" ht="17.25" customHeight="1" x14ac:dyDescent="0.3">
      <c r="A142" s="43" t="s">
        <v>466</v>
      </c>
      <c r="B142" s="43" t="s">
        <v>466</v>
      </c>
      <c r="C142" s="44"/>
      <c r="D142" s="43"/>
      <c r="E142" s="69"/>
      <c r="F142" s="69"/>
      <c r="G142" s="67"/>
      <c r="H142" s="36"/>
      <c r="I142" s="45"/>
      <c r="J142" s="80"/>
      <c r="K142" s="53"/>
      <c r="L142" s="47">
        <v>0.5</v>
      </c>
      <c r="M142" s="37" t="s">
        <v>77</v>
      </c>
      <c r="N142" s="47">
        <v>0.5</v>
      </c>
      <c r="O142" s="37" t="s">
        <v>77</v>
      </c>
      <c r="P142" s="43">
        <v>25</v>
      </c>
      <c r="Q142" s="43">
        <v>10</v>
      </c>
      <c r="R142" s="53">
        <v>1</v>
      </c>
      <c r="S142" s="53"/>
      <c r="T142" s="38"/>
      <c r="U142" s="38"/>
      <c r="V142" s="38"/>
      <c r="W142" s="38"/>
      <c r="X142" s="43"/>
      <c r="Y142" s="48"/>
      <c r="Z142" s="66"/>
      <c r="AA142" s="65"/>
      <c r="AB142" s="72"/>
      <c r="AC142" s="87"/>
    </row>
    <row r="143" spans="1:29" ht="17.25" customHeight="1" x14ac:dyDescent="0.3">
      <c r="A143" s="43" t="s">
        <v>375</v>
      </c>
      <c r="B143" s="43" t="s">
        <v>375</v>
      </c>
      <c r="C143" s="44"/>
      <c r="D143" s="43" t="s">
        <v>123</v>
      </c>
      <c r="E143" s="69" t="s">
        <v>110</v>
      </c>
      <c r="F143" s="69" t="s">
        <v>110</v>
      </c>
      <c r="G143" s="67"/>
      <c r="H143" s="36" t="s">
        <v>244</v>
      </c>
      <c r="I143" s="45"/>
      <c r="J143" s="80" t="s">
        <v>74</v>
      </c>
      <c r="K143" s="53" t="s">
        <v>75</v>
      </c>
      <c r="L143" s="47">
        <v>0.5</v>
      </c>
      <c r="M143" s="37" t="s">
        <v>76</v>
      </c>
      <c r="N143" s="47">
        <v>0.5</v>
      </c>
      <c r="O143" s="37" t="s">
        <v>77</v>
      </c>
      <c r="P143" s="43">
        <v>20</v>
      </c>
      <c r="Q143" s="43">
        <v>15</v>
      </c>
      <c r="R143" s="53">
        <v>1</v>
      </c>
      <c r="S143" s="53">
        <v>0</v>
      </c>
      <c r="T143" s="38"/>
      <c r="U143" s="38"/>
      <c r="V143" s="38" t="s">
        <v>146</v>
      </c>
      <c r="W143" s="38"/>
      <c r="X143" s="43"/>
      <c r="Y143" s="48"/>
      <c r="Z143" s="66"/>
      <c r="AA143" s="65"/>
      <c r="AB143" s="72">
        <v>0.19500000000000001</v>
      </c>
      <c r="AC143" s="87">
        <v>0.2</v>
      </c>
    </row>
    <row r="144" spans="1:29" ht="17.25" customHeight="1" x14ac:dyDescent="0.3">
      <c r="A144" s="43" t="s">
        <v>468</v>
      </c>
      <c r="B144" s="43" t="s">
        <v>468</v>
      </c>
      <c r="C144" s="44"/>
      <c r="D144" s="43" t="s">
        <v>123</v>
      </c>
      <c r="E144" s="69" t="s">
        <v>110</v>
      </c>
      <c r="F144" s="69" t="s">
        <v>110</v>
      </c>
      <c r="G144" s="67"/>
      <c r="H144" s="36" t="s">
        <v>244</v>
      </c>
      <c r="I144" s="45"/>
      <c r="J144" s="80" t="s">
        <v>74</v>
      </c>
      <c r="K144" s="53" t="s">
        <v>75</v>
      </c>
      <c r="L144" s="47">
        <v>0.5</v>
      </c>
      <c r="M144" s="37" t="s">
        <v>77</v>
      </c>
      <c r="N144" s="47">
        <v>0.5</v>
      </c>
      <c r="O144" s="37" t="s">
        <v>77</v>
      </c>
      <c r="P144" s="43">
        <v>25</v>
      </c>
      <c r="Q144" s="43">
        <v>17</v>
      </c>
      <c r="R144" s="53">
        <v>1</v>
      </c>
      <c r="S144" s="53">
        <v>0</v>
      </c>
      <c r="T144" s="38"/>
      <c r="U144" s="38"/>
      <c r="V144" s="38" t="s">
        <v>146</v>
      </c>
      <c r="W144" s="38"/>
      <c r="X144" s="43"/>
      <c r="Y144" s="48"/>
      <c r="Z144" s="66"/>
      <c r="AA144" s="65"/>
      <c r="AB144" s="72">
        <v>0.19500000000000001</v>
      </c>
      <c r="AC144" s="87">
        <v>0.2</v>
      </c>
    </row>
    <row r="145" spans="1:29" ht="17.25" customHeight="1" x14ac:dyDescent="0.3">
      <c r="A145" s="43" t="s">
        <v>512</v>
      </c>
      <c r="B145" s="43" t="s">
        <v>512</v>
      </c>
      <c r="C145" s="44"/>
      <c r="D145" s="43" t="s">
        <v>123</v>
      </c>
      <c r="E145" s="69" t="s">
        <v>110</v>
      </c>
      <c r="F145" s="69" t="s">
        <v>110</v>
      </c>
      <c r="G145" s="67"/>
      <c r="H145" s="36" t="s">
        <v>244</v>
      </c>
      <c r="I145" s="45"/>
      <c r="J145" s="80" t="s">
        <v>74</v>
      </c>
      <c r="K145" s="53" t="s">
        <v>75</v>
      </c>
      <c r="L145" s="47">
        <v>0.5</v>
      </c>
      <c r="M145" s="37" t="s">
        <v>77</v>
      </c>
      <c r="N145" s="47">
        <v>0.5</v>
      </c>
      <c r="O145" s="37" t="s">
        <v>77</v>
      </c>
      <c r="P145" s="43">
        <v>20</v>
      </c>
      <c r="Q145" s="43">
        <v>15</v>
      </c>
      <c r="R145" s="53">
        <v>1</v>
      </c>
      <c r="S145" s="53">
        <v>0</v>
      </c>
      <c r="T145" s="38"/>
      <c r="U145" s="38"/>
      <c r="V145" s="38" t="s">
        <v>146</v>
      </c>
      <c r="W145" s="38"/>
      <c r="X145" s="43"/>
      <c r="Y145" s="48"/>
      <c r="Z145" s="66"/>
      <c r="AA145" s="65"/>
      <c r="AB145" s="72">
        <v>0.19500000000000001</v>
      </c>
      <c r="AC145" s="87">
        <v>0.2</v>
      </c>
    </row>
    <row r="146" spans="1:29" ht="17.25" customHeight="1" x14ac:dyDescent="0.3">
      <c r="A146" s="43" t="s">
        <v>612</v>
      </c>
      <c r="B146" s="43" t="s">
        <v>589</v>
      </c>
      <c r="C146" s="44"/>
      <c r="D146" s="43"/>
      <c r="E146" s="69"/>
      <c r="F146" s="69"/>
      <c r="G146" s="67"/>
      <c r="H146" s="36"/>
      <c r="I146" s="45"/>
      <c r="J146" s="80"/>
      <c r="K146" s="53"/>
      <c r="L146" s="47">
        <v>0.5</v>
      </c>
      <c r="M146" s="37" t="s">
        <v>77</v>
      </c>
      <c r="N146" s="47">
        <v>0.5</v>
      </c>
      <c r="O146" s="37" t="s">
        <v>77</v>
      </c>
      <c r="P146" s="43">
        <v>20</v>
      </c>
      <c r="Q146" s="43">
        <v>15</v>
      </c>
      <c r="R146" s="53">
        <v>1</v>
      </c>
      <c r="S146" s="53"/>
      <c r="T146" s="38"/>
      <c r="U146" s="38"/>
      <c r="V146" s="38"/>
      <c r="W146" s="38"/>
      <c r="X146" s="43"/>
      <c r="Y146" s="48"/>
      <c r="Z146" s="66"/>
      <c r="AA146" s="65"/>
      <c r="AB146" s="72"/>
      <c r="AC146" s="87"/>
    </row>
    <row r="147" spans="1:29" ht="17.25" customHeight="1" x14ac:dyDescent="0.3">
      <c r="A147" s="43" t="s">
        <v>544</v>
      </c>
      <c r="B147" s="43" t="s">
        <v>544</v>
      </c>
      <c r="C147" s="44"/>
      <c r="D147" s="43"/>
      <c r="E147" s="69"/>
      <c r="F147" s="69"/>
      <c r="G147" s="67"/>
      <c r="H147" s="36"/>
      <c r="I147" s="45"/>
      <c r="J147" s="80"/>
      <c r="K147" s="53"/>
      <c r="L147" s="47">
        <v>0.5</v>
      </c>
      <c r="M147" s="37" t="s">
        <v>77</v>
      </c>
      <c r="N147" s="47">
        <v>0.5</v>
      </c>
      <c r="O147" s="37" t="s">
        <v>77</v>
      </c>
      <c r="P147" s="43">
        <v>19</v>
      </c>
      <c r="Q147" s="43">
        <v>15</v>
      </c>
      <c r="R147" s="53">
        <v>1</v>
      </c>
      <c r="S147" s="53"/>
      <c r="T147" s="38"/>
      <c r="U147" s="38"/>
      <c r="V147" s="38"/>
      <c r="W147" s="38"/>
      <c r="X147" s="43"/>
      <c r="Y147" s="48"/>
      <c r="Z147" s="66"/>
      <c r="AA147" s="65"/>
      <c r="AB147" s="72"/>
      <c r="AC147" s="87"/>
    </row>
    <row r="148" spans="1:29" ht="17.25" customHeight="1" x14ac:dyDescent="0.3">
      <c r="A148" s="43" t="s">
        <v>613</v>
      </c>
      <c r="B148" s="43" t="s">
        <v>613</v>
      </c>
      <c r="C148" s="44"/>
      <c r="D148" s="43"/>
      <c r="E148" s="69"/>
      <c r="F148" s="69"/>
      <c r="G148" s="67"/>
      <c r="H148" s="36"/>
      <c r="I148" s="45"/>
      <c r="J148" s="80"/>
      <c r="K148" s="53"/>
      <c r="L148" s="47">
        <v>0.5</v>
      </c>
      <c r="M148" s="37" t="s">
        <v>77</v>
      </c>
      <c r="N148" s="47">
        <v>0.5</v>
      </c>
      <c r="O148" s="37" t="s">
        <v>77</v>
      </c>
      <c r="P148" s="43">
        <v>20</v>
      </c>
      <c r="Q148" s="43">
        <v>10</v>
      </c>
      <c r="R148" s="53">
        <v>1</v>
      </c>
      <c r="S148" s="53"/>
      <c r="T148" s="38"/>
      <c r="U148" s="38"/>
      <c r="V148" s="38"/>
      <c r="W148" s="38"/>
      <c r="X148" s="43"/>
      <c r="Y148" s="48"/>
      <c r="Z148" s="66"/>
      <c r="AA148" s="65"/>
      <c r="AB148" s="72"/>
      <c r="AC148" s="87"/>
    </row>
    <row r="149" spans="1:29" ht="17.25" customHeight="1" x14ac:dyDescent="0.3">
      <c r="A149" s="43" t="s">
        <v>522</v>
      </c>
      <c r="B149" s="43" t="s">
        <v>522</v>
      </c>
      <c r="C149" s="44"/>
      <c r="D149" s="43" t="s">
        <v>123</v>
      </c>
      <c r="E149" s="69" t="s">
        <v>110</v>
      </c>
      <c r="F149" s="69" t="s">
        <v>110</v>
      </c>
      <c r="G149" s="67"/>
      <c r="H149" s="36" t="s">
        <v>244</v>
      </c>
      <c r="I149" s="45"/>
      <c r="J149" s="80" t="s">
        <v>74</v>
      </c>
      <c r="K149" s="53" t="s">
        <v>75</v>
      </c>
      <c r="L149" s="47">
        <v>0.5</v>
      </c>
      <c r="M149" s="37" t="s">
        <v>77</v>
      </c>
      <c r="N149" s="47">
        <v>0.5</v>
      </c>
      <c r="O149" s="37" t="s">
        <v>77</v>
      </c>
      <c r="P149" s="43">
        <v>25</v>
      </c>
      <c r="Q149" s="43">
        <v>15</v>
      </c>
      <c r="R149" s="53">
        <v>1</v>
      </c>
      <c r="S149" s="53">
        <v>0</v>
      </c>
      <c r="T149" s="38"/>
      <c r="U149" s="38"/>
      <c r="V149" s="38" t="s">
        <v>146</v>
      </c>
      <c r="W149" s="38"/>
      <c r="X149" s="43"/>
      <c r="Y149" s="48"/>
      <c r="Z149" s="66"/>
      <c r="AA149" s="65"/>
      <c r="AB149" s="72">
        <v>0.19500000000000001</v>
      </c>
      <c r="AC149" s="87">
        <v>0.2</v>
      </c>
    </row>
    <row r="150" spans="1:29" ht="17.25" customHeight="1" x14ac:dyDescent="0.3">
      <c r="A150" s="43" t="s">
        <v>526</v>
      </c>
      <c r="B150" s="43" t="s">
        <v>526</v>
      </c>
      <c r="C150" s="44"/>
      <c r="D150" s="43"/>
      <c r="E150" s="69"/>
      <c r="F150" s="69"/>
      <c r="G150" s="67"/>
      <c r="H150" s="36"/>
      <c r="I150" s="45"/>
      <c r="J150" s="80"/>
      <c r="K150" s="53"/>
      <c r="L150" s="47">
        <v>0.5</v>
      </c>
      <c r="M150" s="37" t="s">
        <v>77</v>
      </c>
      <c r="N150" s="47">
        <v>0.5</v>
      </c>
      <c r="O150" s="37" t="s">
        <v>77</v>
      </c>
      <c r="P150" s="43">
        <v>25</v>
      </c>
      <c r="Q150" s="43">
        <v>17</v>
      </c>
      <c r="R150" s="53">
        <v>1</v>
      </c>
      <c r="S150" s="53"/>
      <c r="T150" s="38"/>
      <c r="U150" s="38"/>
      <c r="V150" s="38"/>
      <c r="W150" s="38"/>
      <c r="X150" s="43"/>
      <c r="Y150" s="48"/>
      <c r="Z150" s="66"/>
      <c r="AA150" s="65"/>
      <c r="AB150" s="72"/>
      <c r="AC150" s="87"/>
    </row>
    <row r="151" spans="1:29" ht="18" customHeight="1" x14ac:dyDescent="0.3">
      <c r="A151" s="43" t="s">
        <v>440</v>
      </c>
      <c r="B151" s="43" t="s">
        <v>440</v>
      </c>
      <c r="C151" s="44"/>
      <c r="D151" s="43"/>
      <c r="E151" s="69"/>
      <c r="F151" s="37"/>
      <c r="G151" s="67"/>
      <c r="H151" s="49"/>
      <c r="I151" s="45"/>
      <c r="J151" s="46"/>
      <c r="K151" s="37"/>
      <c r="L151" s="47">
        <v>0.49</v>
      </c>
      <c r="M151" s="37" t="s">
        <v>77</v>
      </c>
      <c r="N151" s="47">
        <v>0.49</v>
      </c>
      <c r="O151" s="37" t="s">
        <v>77</v>
      </c>
      <c r="P151" s="43">
        <v>26</v>
      </c>
      <c r="Q151" s="43">
        <v>15</v>
      </c>
      <c r="R151" s="53">
        <v>1</v>
      </c>
      <c r="S151" s="53">
        <v>0</v>
      </c>
      <c r="T151" s="38"/>
      <c r="U151" s="38"/>
      <c r="V151" s="38"/>
      <c r="W151" s="38"/>
      <c r="X151" s="43"/>
      <c r="Y151" s="48"/>
      <c r="Z151" s="64"/>
      <c r="AA151" s="65"/>
      <c r="AB151" s="66"/>
      <c r="AC151" s="66"/>
    </row>
    <row r="152" spans="1:29" ht="18" customHeight="1" x14ac:dyDescent="0.3">
      <c r="A152" s="43" t="s">
        <v>511</v>
      </c>
      <c r="B152" s="43" t="s">
        <v>511</v>
      </c>
      <c r="C152" s="44"/>
      <c r="D152" s="43"/>
      <c r="E152" s="69"/>
      <c r="F152" s="37"/>
      <c r="G152" s="67"/>
      <c r="H152" s="49"/>
      <c r="I152" s="45"/>
      <c r="J152" s="46"/>
      <c r="K152" s="37"/>
      <c r="L152" s="165">
        <v>0.5</v>
      </c>
      <c r="M152" s="37" t="s">
        <v>77</v>
      </c>
      <c r="N152" s="165">
        <v>0.5</v>
      </c>
      <c r="O152" s="37" t="s">
        <v>77</v>
      </c>
      <c r="P152" s="43">
        <v>30</v>
      </c>
      <c r="Q152" s="43">
        <v>17</v>
      </c>
      <c r="R152" s="53">
        <v>1</v>
      </c>
      <c r="S152" s="53"/>
      <c r="T152" s="38"/>
      <c r="U152" s="38"/>
      <c r="V152" s="38"/>
      <c r="W152" s="38"/>
      <c r="X152" s="43"/>
      <c r="Y152" s="48"/>
      <c r="Z152" s="64"/>
      <c r="AA152" s="65"/>
      <c r="AB152" s="66"/>
      <c r="AC152" s="66"/>
    </row>
    <row r="153" spans="1:29" x14ac:dyDescent="0.3">
      <c r="A153" s="43" t="s">
        <v>449</v>
      </c>
      <c r="B153" s="43" t="s">
        <v>449</v>
      </c>
      <c r="C153" s="44"/>
      <c r="D153" s="43"/>
      <c r="E153" s="69"/>
      <c r="F153" s="69"/>
      <c r="G153" s="67"/>
      <c r="H153" s="78"/>
      <c r="I153" s="45"/>
      <c r="J153" s="80"/>
      <c r="K153" s="53"/>
      <c r="L153" s="165">
        <v>0.5</v>
      </c>
      <c r="M153" s="37" t="s">
        <v>77</v>
      </c>
      <c r="N153" s="165">
        <v>0.5</v>
      </c>
      <c r="O153" s="37" t="s">
        <v>77</v>
      </c>
      <c r="P153" s="164">
        <v>20</v>
      </c>
      <c r="Q153" s="43">
        <v>15</v>
      </c>
      <c r="R153" s="53">
        <v>1</v>
      </c>
      <c r="S153" s="53"/>
      <c r="T153" s="38"/>
      <c r="U153" s="38"/>
      <c r="V153" s="38"/>
      <c r="W153" s="38"/>
      <c r="X153" s="43"/>
      <c r="Y153" s="48"/>
      <c r="Z153" s="66"/>
      <c r="AA153" s="65"/>
      <c r="AB153" s="72"/>
      <c r="AC153" s="87"/>
    </row>
    <row r="154" spans="1:29" x14ac:dyDescent="0.3">
      <c r="A154" s="43" t="s">
        <v>389</v>
      </c>
      <c r="B154" s="43" t="s">
        <v>389</v>
      </c>
      <c r="C154" s="44"/>
      <c r="D154" s="43"/>
      <c r="E154" s="69"/>
      <c r="F154" s="69"/>
      <c r="G154" s="67"/>
      <c r="H154" s="78"/>
      <c r="I154" s="45"/>
      <c r="J154" s="80"/>
      <c r="K154" s="53"/>
      <c r="L154" s="165">
        <v>0.5</v>
      </c>
      <c r="M154" s="37" t="s">
        <v>77</v>
      </c>
      <c r="N154" s="165">
        <v>0.5</v>
      </c>
      <c r="O154" s="37" t="s">
        <v>77</v>
      </c>
      <c r="P154" s="164">
        <v>20</v>
      </c>
      <c r="Q154" s="43">
        <v>15</v>
      </c>
      <c r="R154" s="53">
        <v>1</v>
      </c>
      <c r="S154" s="53"/>
      <c r="T154" s="38"/>
      <c r="U154" s="38"/>
      <c r="V154" s="38"/>
      <c r="W154" s="38"/>
      <c r="X154" s="43"/>
      <c r="Y154" s="48"/>
      <c r="Z154" s="66"/>
      <c r="AA154" s="65"/>
      <c r="AB154" s="72"/>
      <c r="AC154" s="87"/>
    </row>
    <row r="155" spans="1:29" ht="18" customHeight="1" x14ac:dyDescent="0.3">
      <c r="A155" s="43" t="s">
        <v>390</v>
      </c>
      <c r="B155" s="43" t="s">
        <v>390</v>
      </c>
      <c r="C155" s="44"/>
      <c r="D155" s="43"/>
      <c r="E155" s="69"/>
      <c r="F155" s="69"/>
      <c r="G155" s="67"/>
      <c r="H155" s="78"/>
      <c r="I155" s="45"/>
      <c r="J155" s="80"/>
      <c r="K155" s="53"/>
      <c r="L155" s="165">
        <v>0.5</v>
      </c>
      <c r="M155" s="37" t="s">
        <v>77</v>
      </c>
      <c r="N155" s="165">
        <v>0.5</v>
      </c>
      <c r="O155" s="37" t="s">
        <v>77</v>
      </c>
      <c r="P155" s="164">
        <v>20</v>
      </c>
      <c r="Q155" s="43">
        <v>15</v>
      </c>
      <c r="R155" s="53">
        <v>1</v>
      </c>
      <c r="S155" s="53"/>
      <c r="T155" s="38"/>
      <c r="U155" s="38"/>
      <c r="V155" s="38"/>
      <c r="W155" s="38"/>
      <c r="X155" s="43"/>
      <c r="Y155" s="48"/>
      <c r="Z155" s="66"/>
      <c r="AA155" s="65"/>
      <c r="AB155" s="72"/>
      <c r="AC155" s="87"/>
    </row>
    <row r="156" spans="1:29" ht="18" customHeight="1" x14ac:dyDescent="0.3">
      <c r="A156" s="43" t="s">
        <v>405</v>
      </c>
      <c r="B156" s="43" t="s">
        <v>405</v>
      </c>
      <c r="C156" s="44"/>
      <c r="D156" s="43"/>
      <c r="E156" s="69"/>
      <c r="F156" s="69"/>
      <c r="G156" s="67"/>
      <c r="H156" s="78"/>
      <c r="I156" s="45"/>
      <c r="J156" s="80"/>
      <c r="K156" s="53"/>
      <c r="L156" s="165">
        <v>0.5</v>
      </c>
      <c r="M156" s="37" t="s">
        <v>77</v>
      </c>
      <c r="N156" s="165">
        <v>0.5</v>
      </c>
      <c r="O156" s="37" t="s">
        <v>77</v>
      </c>
      <c r="P156" s="164">
        <v>20</v>
      </c>
      <c r="Q156" s="43">
        <v>15</v>
      </c>
      <c r="R156" s="53">
        <v>1</v>
      </c>
      <c r="S156" s="53"/>
      <c r="T156" s="38"/>
      <c r="U156" s="38"/>
      <c r="V156" s="38"/>
      <c r="W156" s="38"/>
      <c r="X156" s="43"/>
      <c r="Y156" s="48"/>
      <c r="Z156" s="66"/>
      <c r="AA156" s="65"/>
      <c r="AB156" s="72"/>
      <c r="AC156" s="87"/>
    </row>
    <row r="157" spans="1:29" ht="18" customHeight="1" x14ac:dyDescent="0.3">
      <c r="A157" s="43" t="s">
        <v>399</v>
      </c>
      <c r="B157" s="43" t="s">
        <v>399</v>
      </c>
      <c r="C157" s="44"/>
      <c r="D157" s="43"/>
      <c r="E157" s="69"/>
      <c r="F157" s="69"/>
      <c r="G157" s="67"/>
      <c r="H157" s="78"/>
      <c r="I157" s="45"/>
      <c r="J157" s="80"/>
      <c r="K157" s="53"/>
      <c r="L157" s="165">
        <v>0.49</v>
      </c>
      <c r="M157" s="37" t="s">
        <v>77</v>
      </c>
      <c r="N157" s="165">
        <v>0.49</v>
      </c>
      <c r="O157" s="37" t="s">
        <v>77</v>
      </c>
      <c r="P157" s="164">
        <v>16</v>
      </c>
      <c r="Q157" s="43">
        <v>15</v>
      </c>
      <c r="R157" s="53">
        <v>1</v>
      </c>
      <c r="S157" s="53"/>
      <c r="T157" s="38"/>
      <c r="U157" s="38"/>
      <c r="V157" s="38"/>
      <c r="W157" s="38"/>
      <c r="X157" s="43"/>
      <c r="Y157" s="48"/>
      <c r="Z157" s="66"/>
      <c r="AA157" s="65"/>
      <c r="AB157" s="72"/>
      <c r="AC157" s="87"/>
    </row>
    <row r="158" spans="1:29" ht="18" customHeight="1" x14ac:dyDescent="0.3">
      <c r="A158" s="43" t="s">
        <v>392</v>
      </c>
      <c r="B158" s="43" t="s">
        <v>393</v>
      </c>
      <c r="C158" s="44"/>
      <c r="D158" s="43"/>
      <c r="E158" s="69"/>
      <c r="F158" s="69"/>
      <c r="G158" s="67"/>
      <c r="H158" s="78"/>
      <c r="I158" s="45"/>
      <c r="J158" s="80"/>
      <c r="K158" s="53"/>
      <c r="L158" s="165">
        <v>0.5</v>
      </c>
      <c r="M158" s="37" t="s">
        <v>77</v>
      </c>
      <c r="N158" s="165">
        <v>0.5</v>
      </c>
      <c r="O158" s="37" t="s">
        <v>77</v>
      </c>
      <c r="P158" s="164">
        <v>20</v>
      </c>
      <c r="Q158" s="43">
        <v>15</v>
      </c>
      <c r="R158" s="53">
        <v>1</v>
      </c>
      <c r="S158" s="53"/>
      <c r="T158" s="38"/>
      <c r="U158" s="38"/>
      <c r="V158" s="38"/>
      <c r="W158" s="38"/>
      <c r="X158" s="43"/>
      <c r="Y158" s="48"/>
      <c r="Z158" s="66"/>
      <c r="AA158" s="65"/>
      <c r="AB158" s="72"/>
      <c r="AC158" s="87"/>
    </row>
    <row r="159" spans="1:29" ht="18" customHeight="1" x14ac:dyDescent="0.3">
      <c r="A159" s="43" t="s">
        <v>394</v>
      </c>
      <c r="B159" s="43" t="s">
        <v>394</v>
      </c>
      <c r="C159" s="44"/>
      <c r="D159" s="43"/>
      <c r="E159" s="69"/>
      <c r="F159" s="69"/>
      <c r="G159" s="67"/>
      <c r="H159" s="78"/>
      <c r="I159" s="45"/>
      <c r="J159" s="80"/>
      <c r="K159" s="53"/>
      <c r="L159" s="165">
        <v>0.5</v>
      </c>
      <c r="M159" s="37" t="s">
        <v>77</v>
      </c>
      <c r="N159" s="165">
        <v>0.5</v>
      </c>
      <c r="O159" s="37" t="s">
        <v>77</v>
      </c>
      <c r="P159" s="164">
        <v>20</v>
      </c>
      <c r="Q159" s="43">
        <v>15</v>
      </c>
      <c r="R159" s="53">
        <v>1</v>
      </c>
      <c r="S159" s="53"/>
      <c r="T159" s="38"/>
      <c r="U159" s="38"/>
      <c r="V159" s="38"/>
      <c r="W159" s="38"/>
      <c r="X159" s="43"/>
      <c r="Y159" s="48"/>
      <c r="Z159" s="66"/>
      <c r="AA159" s="65"/>
      <c r="AB159" s="72"/>
      <c r="AC159" s="87"/>
    </row>
    <row r="160" spans="1:29" ht="18" customHeight="1" x14ac:dyDescent="0.3">
      <c r="A160" s="43" t="s">
        <v>298</v>
      </c>
      <c r="B160" s="43" t="s">
        <v>298</v>
      </c>
      <c r="C160" s="44"/>
      <c r="D160" s="43"/>
      <c r="E160" s="69"/>
      <c r="F160" s="69"/>
      <c r="G160" s="67"/>
      <c r="H160" s="36"/>
      <c r="I160" s="45"/>
      <c r="J160" s="46"/>
      <c r="K160" s="37"/>
      <c r="L160" s="165">
        <v>0.47</v>
      </c>
      <c r="M160" s="37" t="s">
        <v>76</v>
      </c>
      <c r="N160" s="165">
        <v>0.47</v>
      </c>
      <c r="O160" s="37" t="s">
        <v>191</v>
      </c>
      <c r="P160" s="164">
        <v>25</v>
      </c>
      <c r="Q160" s="43">
        <v>15</v>
      </c>
      <c r="R160" s="53">
        <v>1</v>
      </c>
      <c r="S160" s="53">
        <v>0</v>
      </c>
      <c r="T160" s="66"/>
      <c r="U160" s="38"/>
      <c r="V160" s="38"/>
      <c r="W160" s="38"/>
      <c r="X160" s="43"/>
      <c r="Y160" s="48"/>
      <c r="Z160" s="64"/>
      <c r="AA160" s="65"/>
      <c r="AB160" s="87"/>
      <c r="AC160" s="71"/>
    </row>
    <row r="161" spans="1:29" ht="18" customHeight="1" x14ac:dyDescent="0.3">
      <c r="A161" s="43" t="s">
        <v>358</v>
      </c>
      <c r="B161" s="43" t="s">
        <v>358</v>
      </c>
      <c r="C161" s="44"/>
      <c r="D161" s="43"/>
      <c r="E161" s="69"/>
      <c r="F161" s="69"/>
      <c r="G161" s="67"/>
      <c r="H161" s="36"/>
      <c r="I161" s="45"/>
      <c r="J161" s="46"/>
      <c r="K161" s="37"/>
      <c r="L161" s="47">
        <v>0.5</v>
      </c>
      <c r="M161" s="37" t="s">
        <v>77</v>
      </c>
      <c r="N161" s="47">
        <v>0.5</v>
      </c>
      <c r="O161" s="37" t="s">
        <v>77</v>
      </c>
      <c r="P161" s="43">
        <v>1</v>
      </c>
      <c r="Q161" s="43">
        <v>15</v>
      </c>
      <c r="R161" s="53">
        <v>2</v>
      </c>
      <c r="S161" s="53">
        <v>0</v>
      </c>
      <c r="T161" s="66"/>
      <c r="U161" s="38"/>
      <c r="V161" s="38"/>
      <c r="W161" s="38"/>
      <c r="X161" s="43"/>
      <c r="Y161" s="48"/>
      <c r="Z161" s="64"/>
      <c r="AA161" s="65"/>
      <c r="AB161" s="87"/>
      <c r="AC161" s="71"/>
    </row>
    <row r="162" spans="1:29" ht="18" customHeight="1" x14ac:dyDescent="0.3">
      <c r="A162" s="43" t="s">
        <v>359</v>
      </c>
      <c r="B162" s="43" t="s">
        <v>359</v>
      </c>
      <c r="C162" s="44"/>
      <c r="D162" s="43"/>
      <c r="E162" s="69"/>
      <c r="F162" s="69"/>
      <c r="G162" s="67"/>
      <c r="H162" s="36"/>
      <c r="I162" s="45"/>
      <c r="J162" s="46"/>
      <c r="K162" s="37"/>
      <c r="L162" s="47">
        <v>0.35</v>
      </c>
      <c r="M162" s="37" t="s">
        <v>77</v>
      </c>
      <c r="N162" s="47">
        <v>0.35</v>
      </c>
      <c r="O162" s="37" t="s">
        <v>77</v>
      </c>
      <c r="P162" s="43">
        <v>1</v>
      </c>
      <c r="Q162" s="43">
        <v>15</v>
      </c>
      <c r="R162" s="53">
        <v>2</v>
      </c>
      <c r="S162" s="53">
        <v>0</v>
      </c>
      <c r="T162" s="66"/>
      <c r="U162" s="38"/>
      <c r="V162" s="38"/>
      <c r="W162" s="38"/>
      <c r="X162" s="43"/>
      <c r="Y162" s="48"/>
      <c r="Z162" s="64"/>
      <c r="AA162" s="65"/>
      <c r="AB162" s="87"/>
      <c r="AC162" s="71"/>
    </row>
    <row r="163" spans="1:29" ht="18" customHeight="1" x14ac:dyDescent="0.3">
      <c r="A163" s="68" t="s">
        <v>104</v>
      </c>
      <c r="B163" s="68" t="s">
        <v>105</v>
      </c>
      <c r="C163" s="44"/>
      <c r="D163" s="68" t="s">
        <v>100</v>
      </c>
      <c r="E163" s="70" t="s">
        <v>106</v>
      </c>
      <c r="F163" s="68" t="s">
        <v>108</v>
      </c>
      <c r="G163" s="67">
        <v>43040</v>
      </c>
      <c r="H163" s="36" t="s">
        <v>107</v>
      </c>
      <c r="I163" s="45">
        <v>600000</v>
      </c>
      <c r="J163" s="46" t="s">
        <v>74</v>
      </c>
      <c r="K163" s="37" t="s">
        <v>75</v>
      </c>
      <c r="L163" s="47">
        <v>0.5</v>
      </c>
      <c r="M163" s="37" t="s">
        <v>76</v>
      </c>
      <c r="N163" s="47">
        <v>0.5</v>
      </c>
      <c r="O163" s="37" t="s">
        <v>76</v>
      </c>
      <c r="P163" s="66">
        <v>26</v>
      </c>
      <c r="Q163" s="43">
        <v>17</v>
      </c>
      <c r="R163" s="53">
        <v>1</v>
      </c>
      <c r="S163" s="53">
        <v>0</v>
      </c>
      <c r="T163" s="66"/>
      <c r="U163" s="66"/>
      <c r="V163" s="38" t="s">
        <v>146</v>
      </c>
      <c r="W163" s="66"/>
      <c r="X163" s="43"/>
      <c r="Y163" s="66"/>
      <c r="Z163" s="66"/>
      <c r="AA163" s="65">
        <v>42887</v>
      </c>
      <c r="AB163" s="72">
        <v>0.1575</v>
      </c>
      <c r="AC163" s="87">
        <v>0.17</v>
      </c>
    </row>
    <row r="164" spans="1:29" ht="28.05" customHeight="1" x14ac:dyDescent="0.3">
      <c r="A164" s="43" t="s">
        <v>540</v>
      </c>
      <c r="B164" s="43" t="s">
        <v>541</v>
      </c>
      <c r="C164" s="44"/>
      <c r="D164" s="68"/>
      <c r="E164" s="70"/>
      <c r="F164" s="68"/>
      <c r="G164" s="67"/>
      <c r="H164" s="36"/>
      <c r="I164" s="45"/>
      <c r="J164" s="46"/>
      <c r="K164" s="37"/>
      <c r="L164" s="165">
        <v>0.48</v>
      </c>
      <c r="M164" s="37" t="s">
        <v>77</v>
      </c>
      <c r="N164" s="165">
        <v>0.48</v>
      </c>
      <c r="O164" s="37" t="s">
        <v>77</v>
      </c>
      <c r="P164" s="164">
        <v>20</v>
      </c>
      <c r="Q164" s="43">
        <v>15</v>
      </c>
      <c r="R164" s="53">
        <v>1</v>
      </c>
      <c r="S164" s="53"/>
      <c r="T164" s="66"/>
      <c r="U164" s="66"/>
      <c r="V164" s="38"/>
      <c r="W164" s="66"/>
      <c r="X164" s="43"/>
      <c r="Y164" s="66"/>
      <c r="Z164" s="66"/>
      <c r="AA164" s="65"/>
      <c r="AB164" s="72"/>
      <c r="AC164" s="71"/>
    </row>
    <row r="165" spans="1:29" ht="28.05" customHeight="1" x14ac:dyDescent="0.3">
      <c r="A165" s="43" t="s">
        <v>608</v>
      </c>
      <c r="B165" s="43" t="s">
        <v>609</v>
      </c>
      <c r="C165" s="44"/>
      <c r="D165" s="68"/>
      <c r="E165" s="70"/>
      <c r="F165" s="68"/>
      <c r="G165" s="67"/>
      <c r="H165" s="36"/>
      <c r="I165" s="45"/>
      <c r="J165" s="46"/>
      <c r="K165" s="37"/>
      <c r="L165" s="165">
        <v>0.49</v>
      </c>
      <c r="M165" s="37" t="s">
        <v>77</v>
      </c>
      <c r="N165" s="165">
        <v>0.49</v>
      </c>
      <c r="O165" s="37" t="s">
        <v>77</v>
      </c>
      <c r="P165" s="164">
        <v>28</v>
      </c>
      <c r="Q165" s="43">
        <v>17</v>
      </c>
      <c r="R165" s="53">
        <v>1</v>
      </c>
      <c r="S165" s="53"/>
      <c r="T165" s="66"/>
      <c r="U165" s="66"/>
      <c r="V165" s="38"/>
      <c r="W165" s="66"/>
      <c r="X165" s="43"/>
      <c r="Y165" s="66"/>
      <c r="Z165" s="66"/>
      <c r="AA165" s="65"/>
      <c r="AB165" s="72"/>
      <c r="AC165" s="71"/>
    </row>
    <row r="166" spans="1:29" ht="28.05" customHeight="1" x14ac:dyDescent="0.3">
      <c r="A166" s="43" t="s">
        <v>562</v>
      </c>
      <c r="B166" s="43" t="s">
        <v>563</v>
      </c>
      <c r="C166" s="44"/>
      <c r="D166" s="68"/>
      <c r="E166" s="70"/>
      <c r="F166" s="68"/>
      <c r="G166" s="67"/>
      <c r="H166" s="36"/>
      <c r="I166" s="45"/>
      <c r="J166" s="46"/>
      <c r="K166" s="37"/>
      <c r="L166" s="165">
        <v>0.5</v>
      </c>
      <c r="M166" s="37" t="s">
        <v>77</v>
      </c>
      <c r="N166" s="165">
        <v>0.5</v>
      </c>
      <c r="O166" s="37" t="s">
        <v>77</v>
      </c>
      <c r="P166" s="164">
        <v>28</v>
      </c>
      <c r="Q166" s="43">
        <v>15</v>
      </c>
      <c r="R166" s="53">
        <v>1</v>
      </c>
      <c r="S166" s="53"/>
      <c r="T166" s="66"/>
      <c r="U166" s="66"/>
      <c r="V166" s="38"/>
      <c r="W166" s="66"/>
      <c r="X166" s="43"/>
      <c r="Y166" s="66"/>
      <c r="Z166" s="66"/>
      <c r="AA166" s="65"/>
      <c r="AB166" s="72"/>
      <c r="AC166" s="71"/>
    </row>
    <row r="167" spans="1:29" ht="27.6" x14ac:dyDescent="0.3">
      <c r="A167" s="43" t="s">
        <v>480</v>
      </c>
      <c r="B167" s="43" t="s">
        <v>481</v>
      </c>
      <c r="C167" s="44"/>
      <c r="D167" s="43"/>
      <c r="E167" s="69"/>
      <c r="F167" s="69"/>
      <c r="G167" s="67"/>
      <c r="H167" s="36"/>
      <c r="I167" s="45"/>
      <c r="J167" s="46"/>
      <c r="K167" s="37"/>
      <c r="L167" s="165">
        <v>0.5</v>
      </c>
      <c r="M167" s="37" t="s">
        <v>77</v>
      </c>
      <c r="N167" s="165">
        <v>0.5</v>
      </c>
      <c r="O167" s="37" t="s">
        <v>77</v>
      </c>
      <c r="P167" s="164">
        <v>20</v>
      </c>
      <c r="Q167" s="43">
        <v>10</v>
      </c>
      <c r="R167" s="53">
        <v>1</v>
      </c>
      <c r="S167" s="53"/>
      <c r="T167" s="66"/>
      <c r="U167" s="38"/>
      <c r="V167" s="38"/>
      <c r="W167" s="38"/>
      <c r="X167" s="43"/>
      <c r="Y167" s="48"/>
      <c r="Z167" s="64"/>
      <c r="AA167" s="65"/>
      <c r="AB167" s="87"/>
      <c r="AC167" s="71"/>
    </row>
    <row r="168" spans="1:29" x14ac:dyDescent="0.3">
      <c r="A168" s="43" t="s">
        <v>517</v>
      </c>
      <c r="B168" s="43" t="s">
        <v>518</v>
      </c>
      <c r="C168" s="44"/>
      <c r="D168" s="43"/>
      <c r="E168" s="69"/>
      <c r="F168" s="69"/>
      <c r="G168" s="67"/>
      <c r="H168" s="36"/>
      <c r="I168" s="45"/>
      <c r="J168" s="46"/>
      <c r="K168" s="37"/>
      <c r="L168" s="165">
        <v>0.5</v>
      </c>
      <c r="M168" s="37" t="s">
        <v>77</v>
      </c>
      <c r="N168" s="165">
        <v>0.5</v>
      </c>
      <c r="O168" s="37" t="s">
        <v>77</v>
      </c>
      <c r="P168" s="164">
        <v>20</v>
      </c>
      <c r="Q168" s="43">
        <v>15</v>
      </c>
      <c r="R168" s="53">
        <v>1</v>
      </c>
      <c r="S168" s="53"/>
      <c r="T168" s="66"/>
      <c r="U168" s="38"/>
      <c r="V168" s="38"/>
      <c r="W168" s="38"/>
      <c r="X168" s="43"/>
      <c r="Y168" s="48"/>
      <c r="Z168" s="64"/>
      <c r="AA168" s="65"/>
      <c r="AB168" s="87"/>
      <c r="AC168" s="71"/>
    </row>
    <row r="169" spans="1:29" x14ac:dyDescent="0.3">
      <c r="A169" s="43" t="s">
        <v>531</v>
      </c>
      <c r="B169" s="43" t="s">
        <v>531</v>
      </c>
      <c r="C169" s="44"/>
      <c r="D169" s="43"/>
      <c r="E169" s="69"/>
      <c r="F169" s="69"/>
      <c r="G169" s="67"/>
      <c r="H169" s="36"/>
      <c r="I169" s="45"/>
      <c r="J169" s="46"/>
      <c r="K169" s="37"/>
      <c r="L169" s="165">
        <v>0.5</v>
      </c>
      <c r="M169" s="37" t="s">
        <v>77</v>
      </c>
      <c r="N169" s="165">
        <v>0.5</v>
      </c>
      <c r="O169" s="37" t="s">
        <v>77</v>
      </c>
      <c r="P169" s="164">
        <v>30</v>
      </c>
      <c r="Q169" s="43">
        <v>15</v>
      </c>
      <c r="R169" s="53">
        <v>1</v>
      </c>
      <c r="S169" s="53"/>
      <c r="T169" s="66"/>
      <c r="U169" s="38"/>
      <c r="V169" s="38"/>
      <c r="W169" s="38"/>
      <c r="X169" s="43"/>
      <c r="Y169" s="48"/>
      <c r="Z169" s="64"/>
      <c r="AA169" s="65"/>
      <c r="AB169" s="87"/>
      <c r="AC169" s="71"/>
    </row>
    <row r="170" spans="1:29" ht="18" customHeight="1" x14ac:dyDescent="0.3">
      <c r="A170" s="43" t="s">
        <v>157</v>
      </c>
      <c r="B170" s="43" t="s">
        <v>158</v>
      </c>
      <c r="C170" s="44"/>
      <c r="D170" s="68" t="s">
        <v>100</v>
      </c>
      <c r="E170" s="69" t="s">
        <v>159</v>
      </c>
      <c r="F170" s="37"/>
      <c r="G170" s="67"/>
      <c r="H170" s="36"/>
      <c r="I170" s="45"/>
      <c r="J170" s="46" t="s">
        <v>74</v>
      </c>
      <c r="K170" s="37" t="s">
        <v>75</v>
      </c>
      <c r="L170" s="47">
        <v>0.5</v>
      </c>
      <c r="M170" s="37" t="s">
        <v>76</v>
      </c>
      <c r="N170" s="47">
        <v>0.5</v>
      </c>
      <c r="O170" s="37" t="s">
        <v>77</v>
      </c>
      <c r="P170" s="43">
        <v>22</v>
      </c>
      <c r="Q170" s="43">
        <v>17</v>
      </c>
      <c r="R170" s="53">
        <v>1</v>
      </c>
      <c r="S170" s="53">
        <v>0</v>
      </c>
      <c r="T170" s="38"/>
      <c r="U170" s="38"/>
      <c r="V170" s="38" t="s">
        <v>146</v>
      </c>
      <c r="W170" s="38"/>
      <c r="X170" s="43"/>
      <c r="Y170" s="48"/>
      <c r="Z170" s="66"/>
      <c r="AA170" s="65"/>
      <c r="AB170" s="72">
        <v>0.1275</v>
      </c>
      <c r="AC170" s="71">
        <v>0.12989999999999999</v>
      </c>
    </row>
    <row r="171" spans="1:29" ht="18" customHeight="1" x14ac:dyDescent="0.3">
      <c r="A171" s="43" t="s">
        <v>616</v>
      </c>
      <c r="B171" s="43" t="s">
        <v>616</v>
      </c>
      <c r="C171" s="44"/>
      <c r="D171" s="68"/>
      <c r="E171" s="69"/>
      <c r="F171" s="37"/>
      <c r="G171" s="67"/>
      <c r="H171" s="36"/>
      <c r="I171" s="45"/>
      <c r="J171" s="46"/>
      <c r="K171" s="37"/>
      <c r="L171" s="165">
        <v>0.5</v>
      </c>
      <c r="M171" s="37" t="s">
        <v>77</v>
      </c>
      <c r="N171" s="165">
        <v>0.5</v>
      </c>
      <c r="O171" s="37" t="s">
        <v>77</v>
      </c>
      <c r="P171" s="164">
        <v>30</v>
      </c>
      <c r="Q171" s="43">
        <v>17</v>
      </c>
      <c r="R171" s="53">
        <v>1</v>
      </c>
      <c r="S171" s="53"/>
      <c r="T171" s="38"/>
      <c r="U171" s="38"/>
      <c r="V171" s="38"/>
      <c r="W171" s="38"/>
      <c r="X171" s="43"/>
      <c r="Y171" s="48"/>
      <c r="Z171" s="66"/>
      <c r="AA171" s="65"/>
      <c r="AB171" s="72"/>
      <c r="AC171" s="71"/>
    </row>
    <row r="172" spans="1:29" ht="29.25" customHeight="1" x14ac:dyDescent="0.3">
      <c r="A172" s="43" t="s">
        <v>310</v>
      </c>
      <c r="B172" s="43" t="s">
        <v>311</v>
      </c>
      <c r="C172" s="44"/>
      <c r="D172" s="43"/>
      <c r="E172" s="69"/>
      <c r="F172" s="69"/>
      <c r="G172" s="67"/>
      <c r="H172" s="36"/>
      <c r="I172" s="45"/>
      <c r="J172" s="46"/>
      <c r="K172" s="37"/>
      <c r="L172" s="165">
        <v>0.5</v>
      </c>
      <c r="M172" s="37" t="s">
        <v>76</v>
      </c>
      <c r="N172" s="165">
        <v>0.5</v>
      </c>
      <c r="O172" s="37" t="s">
        <v>77</v>
      </c>
      <c r="P172" s="164">
        <v>20</v>
      </c>
      <c r="Q172" s="43">
        <v>15</v>
      </c>
      <c r="R172" s="53">
        <v>1</v>
      </c>
      <c r="S172" s="53">
        <v>0</v>
      </c>
      <c r="T172" s="66"/>
      <c r="U172" s="38"/>
      <c r="V172" s="38"/>
      <c r="W172" s="38"/>
      <c r="X172" s="43"/>
      <c r="Y172" s="48"/>
      <c r="Z172" s="64"/>
      <c r="AA172" s="65"/>
      <c r="AB172" s="87"/>
      <c r="AC172" s="71"/>
    </row>
    <row r="173" spans="1:29" ht="18" customHeight="1" x14ac:dyDescent="0.3">
      <c r="A173" s="43" t="s">
        <v>339</v>
      </c>
      <c r="B173" s="43" t="s">
        <v>338</v>
      </c>
      <c r="C173" s="44"/>
      <c r="D173" s="43"/>
      <c r="E173" s="69"/>
      <c r="F173" s="69"/>
      <c r="G173" s="67"/>
      <c r="H173" s="36"/>
      <c r="I173" s="45"/>
      <c r="J173" s="46"/>
      <c r="K173" s="37"/>
      <c r="L173" s="165">
        <v>0.5</v>
      </c>
      <c r="M173" s="37" t="s">
        <v>77</v>
      </c>
      <c r="N173" s="165">
        <v>0.5</v>
      </c>
      <c r="O173" s="37" t="s">
        <v>77</v>
      </c>
      <c r="P173" s="164">
        <v>25</v>
      </c>
      <c r="Q173" s="43">
        <v>15</v>
      </c>
      <c r="R173" s="53">
        <v>1</v>
      </c>
      <c r="S173" s="53">
        <v>0</v>
      </c>
      <c r="T173" s="66"/>
      <c r="U173" s="38"/>
      <c r="V173" s="38"/>
      <c r="W173" s="38"/>
      <c r="X173" s="43"/>
      <c r="Y173" s="48"/>
      <c r="Z173" s="64"/>
      <c r="AA173" s="65"/>
      <c r="AB173" s="87"/>
      <c r="AC173" s="71"/>
    </row>
    <row r="174" spans="1:29" ht="18" customHeight="1" x14ac:dyDescent="0.3">
      <c r="A174" s="43" t="s">
        <v>241</v>
      </c>
      <c r="B174" s="43" t="s">
        <v>242</v>
      </c>
      <c r="C174" s="44"/>
      <c r="D174" s="43" t="s">
        <v>123</v>
      </c>
      <c r="E174" s="69" t="s">
        <v>101</v>
      </c>
      <c r="F174" s="69" t="s">
        <v>101</v>
      </c>
      <c r="G174" s="67"/>
      <c r="H174" s="36" t="s">
        <v>243</v>
      </c>
      <c r="I174" s="45"/>
      <c r="J174" s="80" t="s">
        <v>74</v>
      </c>
      <c r="K174" s="53" t="s">
        <v>75</v>
      </c>
      <c r="L174" s="165">
        <v>0.5</v>
      </c>
      <c r="M174" s="37" t="s">
        <v>76</v>
      </c>
      <c r="N174" s="165">
        <v>0.5</v>
      </c>
      <c r="O174" s="37" t="s">
        <v>77</v>
      </c>
      <c r="P174" s="164">
        <v>23</v>
      </c>
      <c r="Q174" s="43">
        <v>15</v>
      </c>
      <c r="R174" s="53">
        <v>1</v>
      </c>
      <c r="S174" s="53">
        <v>0</v>
      </c>
      <c r="T174" s="38"/>
      <c r="U174" s="38"/>
      <c r="V174" s="38" t="s">
        <v>146</v>
      </c>
      <c r="W174" s="38"/>
      <c r="X174" s="43"/>
      <c r="Y174" s="48"/>
      <c r="Z174" s="66"/>
      <c r="AA174" s="65"/>
      <c r="AB174" s="72">
        <v>0.14000000000000001</v>
      </c>
      <c r="AC174" s="71">
        <v>0.13800000000000001</v>
      </c>
    </row>
    <row r="175" spans="1:29" ht="18" customHeight="1" x14ac:dyDescent="0.3">
      <c r="A175" s="43" t="s">
        <v>591</v>
      </c>
      <c r="B175" s="43" t="s">
        <v>591</v>
      </c>
      <c r="C175" s="44"/>
      <c r="D175" s="43"/>
      <c r="E175" s="69"/>
      <c r="F175" s="69"/>
      <c r="G175" s="67"/>
      <c r="H175" s="36"/>
      <c r="I175" s="45"/>
      <c r="J175" s="80"/>
      <c r="K175" s="53"/>
      <c r="L175" s="165">
        <v>0.5</v>
      </c>
      <c r="M175" s="37" t="s">
        <v>77</v>
      </c>
      <c r="N175" s="165">
        <v>0.5</v>
      </c>
      <c r="O175" s="37" t="s">
        <v>77</v>
      </c>
      <c r="P175" s="164">
        <v>20</v>
      </c>
      <c r="Q175" s="43">
        <v>10</v>
      </c>
      <c r="R175" s="53">
        <v>1</v>
      </c>
      <c r="S175" s="53"/>
      <c r="T175" s="38"/>
      <c r="U175" s="38"/>
      <c r="V175" s="38"/>
      <c r="W175" s="38"/>
      <c r="X175" s="43"/>
      <c r="Y175" s="48"/>
      <c r="Z175" s="66"/>
      <c r="AA175" s="65"/>
      <c r="AB175" s="72"/>
      <c r="AC175" s="71"/>
    </row>
    <row r="176" spans="1:29" ht="24" customHeight="1" x14ac:dyDescent="0.3">
      <c r="A176" s="43" t="s">
        <v>397</v>
      </c>
      <c r="B176" s="43" t="s">
        <v>398</v>
      </c>
      <c r="C176" s="44"/>
      <c r="D176" s="43"/>
      <c r="E176" s="69"/>
      <c r="F176" s="69"/>
      <c r="G176" s="67"/>
      <c r="H176" s="36"/>
      <c r="I176" s="45"/>
      <c r="J176" s="46"/>
      <c r="K176" s="37"/>
      <c r="L176" s="165">
        <v>0.5</v>
      </c>
      <c r="M176" s="37" t="s">
        <v>77</v>
      </c>
      <c r="N176" s="165">
        <v>0.5</v>
      </c>
      <c r="O176" s="37" t="s">
        <v>77</v>
      </c>
      <c r="P176" s="164">
        <v>20</v>
      </c>
      <c r="Q176" s="43">
        <v>15</v>
      </c>
      <c r="R176" s="53">
        <v>1</v>
      </c>
      <c r="S176" s="53">
        <v>0</v>
      </c>
      <c r="T176" s="66"/>
      <c r="U176" s="38"/>
      <c r="V176" s="38"/>
      <c r="W176" s="38"/>
      <c r="X176" s="43"/>
      <c r="Y176" s="48"/>
      <c r="Z176" s="64"/>
      <c r="AA176" s="65"/>
      <c r="AB176" s="87"/>
      <c r="AC176" s="71"/>
    </row>
    <row r="177" spans="1:30" ht="18" customHeight="1" x14ac:dyDescent="0.3">
      <c r="A177" s="43" t="s">
        <v>312</v>
      </c>
      <c r="B177" s="43" t="s">
        <v>313</v>
      </c>
      <c r="C177" s="44"/>
      <c r="D177" s="43"/>
      <c r="E177" s="69"/>
      <c r="F177" s="69"/>
      <c r="G177" s="67"/>
      <c r="H177" s="36"/>
      <c r="I177" s="45"/>
      <c r="J177" s="46"/>
      <c r="K177" s="37"/>
      <c r="L177" s="165">
        <v>0.45</v>
      </c>
      <c r="M177" s="37" t="s">
        <v>76</v>
      </c>
      <c r="N177" s="165">
        <v>0.45</v>
      </c>
      <c r="O177" s="37" t="s">
        <v>76</v>
      </c>
      <c r="P177" s="164">
        <v>23</v>
      </c>
      <c r="Q177" s="43">
        <v>15</v>
      </c>
      <c r="R177" s="53">
        <v>1</v>
      </c>
      <c r="S177" s="53">
        <v>0</v>
      </c>
      <c r="T177" s="66"/>
      <c r="U177" s="38"/>
      <c r="V177" s="38"/>
      <c r="W177" s="38"/>
      <c r="X177" s="43"/>
      <c r="Y177" s="48"/>
      <c r="Z177" s="64"/>
      <c r="AA177" s="65"/>
      <c r="AB177" s="87"/>
      <c r="AC177" s="71"/>
    </row>
    <row r="178" spans="1:30" ht="17.25" customHeight="1" x14ac:dyDescent="0.3">
      <c r="A178" s="43" t="s">
        <v>328</v>
      </c>
      <c r="B178" s="43" t="s">
        <v>384</v>
      </c>
      <c r="C178" s="44"/>
      <c r="D178" s="43"/>
      <c r="E178" s="69"/>
      <c r="F178" s="69"/>
      <c r="G178" s="67"/>
      <c r="H178" s="36"/>
      <c r="I178" s="45"/>
      <c r="J178" s="46"/>
      <c r="K178" s="37"/>
      <c r="L178" s="165">
        <v>0.5</v>
      </c>
      <c r="M178" s="37" t="s">
        <v>76</v>
      </c>
      <c r="N178" s="165">
        <v>0.5</v>
      </c>
      <c r="O178" s="37" t="s">
        <v>76</v>
      </c>
      <c r="P178" s="164">
        <v>25</v>
      </c>
      <c r="Q178" s="43">
        <v>15</v>
      </c>
      <c r="R178" s="53">
        <v>1</v>
      </c>
      <c r="S178" s="53">
        <v>0</v>
      </c>
      <c r="T178" s="66"/>
      <c r="U178" s="38"/>
      <c r="V178" s="38"/>
      <c r="W178" s="38"/>
      <c r="X178" s="43"/>
      <c r="Y178" s="48"/>
      <c r="Z178" s="64"/>
      <c r="AA178" s="65"/>
      <c r="AB178" s="87"/>
      <c r="AC178" s="71"/>
    </row>
    <row r="179" spans="1:30" ht="18" customHeight="1" x14ac:dyDescent="0.3">
      <c r="A179" s="43" t="s">
        <v>376</v>
      </c>
      <c r="B179" s="43" t="s">
        <v>376</v>
      </c>
      <c r="C179" s="44"/>
      <c r="D179" s="43"/>
      <c r="E179" s="69"/>
      <c r="F179" s="69"/>
      <c r="G179" s="67"/>
      <c r="H179" s="36"/>
      <c r="I179" s="45"/>
      <c r="J179" s="46"/>
      <c r="K179" s="37"/>
      <c r="L179" s="165">
        <v>0.5</v>
      </c>
      <c r="M179" s="37" t="s">
        <v>76</v>
      </c>
      <c r="N179" s="165">
        <v>0.5</v>
      </c>
      <c r="O179" s="37" t="s">
        <v>76</v>
      </c>
      <c r="P179" s="164">
        <v>20</v>
      </c>
      <c r="Q179" s="43">
        <v>15</v>
      </c>
      <c r="R179" s="53">
        <v>1</v>
      </c>
      <c r="S179" s="53">
        <v>0</v>
      </c>
      <c r="T179" s="66"/>
      <c r="U179" s="38"/>
      <c r="V179" s="38"/>
      <c r="W179" s="38"/>
      <c r="X179" s="43"/>
      <c r="Y179" s="48"/>
      <c r="Z179" s="64"/>
      <c r="AA179" s="65"/>
      <c r="AB179" s="87"/>
      <c r="AC179" s="87"/>
    </row>
    <row r="180" spans="1:30" ht="17.25" customHeight="1" x14ac:dyDescent="0.3">
      <c r="A180" s="43" t="s">
        <v>388</v>
      </c>
      <c r="B180" s="43" t="s">
        <v>388</v>
      </c>
      <c r="C180" s="44"/>
      <c r="D180" s="43"/>
      <c r="E180" s="69"/>
      <c r="F180" s="69"/>
      <c r="G180" s="67"/>
      <c r="H180" s="36"/>
      <c r="I180" s="45"/>
      <c r="J180" s="46" t="s">
        <v>74</v>
      </c>
      <c r="K180" s="37"/>
      <c r="L180" s="165">
        <v>0.47</v>
      </c>
      <c r="M180" s="37" t="s">
        <v>77</v>
      </c>
      <c r="N180" s="165">
        <v>0.47</v>
      </c>
      <c r="O180" s="37" t="s">
        <v>77</v>
      </c>
      <c r="P180" s="164">
        <v>25</v>
      </c>
      <c r="Q180" s="43">
        <v>15</v>
      </c>
      <c r="R180" s="53">
        <v>1</v>
      </c>
      <c r="S180" s="53">
        <v>0</v>
      </c>
      <c r="T180" s="66"/>
      <c r="U180" s="38"/>
      <c r="V180" s="38"/>
      <c r="W180" s="38"/>
      <c r="X180" s="43"/>
      <c r="Y180" s="48"/>
      <c r="Z180" s="64"/>
      <c r="AA180" s="65"/>
      <c r="AB180" s="87"/>
      <c r="AC180" s="71"/>
    </row>
    <row r="181" spans="1:30" ht="17.25" customHeight="1" x14ac:dyDescent="0.3">
      <c r="A181" s="43" t="s">
        <v>340</v>
      </c>
      <c r="B181" s="43" t="s">
        <v>340</v>
      </c>
      <c r="C181" s="44"/>
      <c r="D181" s="43"/>
      <c r="E181" s="69"/>
      <c r="F181" s="69"/>
      <c r="G181" s="67"/>
      <c r="H181" s="36"/>
      <c r="I181" s="45"/>
      <c r="J181" s="46"/>
      <c r="K181" s="37"/>
      <c r="L181" s="165">
        <v>0.5</v>
      </c>
      <c r="M181" s="37" t="s">
        <v>76</v>
      </c>
      <c r="N181" s="165">
        <v>0.5</v>
      </c>
      <c r="O181" s="37" t="s">
        <v>76</v>
      </c>
      <c r="P181" s="164">
        <v>20</v>
      </c>
      <c r="Q181" s="43">
        <v>15</v>
      </c>
      <c r="R181" s="53">
        <v>1</v>
      </c>
      <c r="S181" s="53">
        <v>0</v>
      </c>
      <c r="T181" s="66"/>
      <c r="U181" s="38"/>
      <c r="V181" s="38"/>
      <c r="W181" s="38"/>
      <c r="X181" s="43"/>
      <c r="Y181" s="48"/>
      <c r="Z181" s="64"/>
      <c r="AA181" s="65"/>
      <c r="AB181" s="87"/>
      <c r="AC181" s="71"/>
    </row>
    <row r="182" spans="1:30" ht="17.25" customHeight="1" x14ac:dyDescent="0.3">
      <c r="A182" s="43" t="s">
        <v>182</v>
      </c>
      <c r="B182" s="43" t="s">
        <v>183</v>
      </c>
      <c r="C182" s="44"/>
      <c r="D182" s="68" t="s">
        <v>100</v>
      </c>
      <c r="E182" s="69" t="s">
        <v>184</v>
      </c>
      <c r="F182" s="37"/>
      <c r="G182" s="67"/>
      <c r="H182" s="36" t="s">
        <v>185</v>
      </c>
      <c r="I182" s="45"/>
      <c r="J182" s="46" t="s">
        <v>74</v>
      </c>
      <c r="K182" s="37" t="s">
        <v>75</v>
      </c>
      <c r="L182" s="165">
        <v>0.5</v>
      </c>
      <c r="M182" s="37" t="s">
        <v>76</v>
      </c>
      <c r="N182" s="165">
        <v>0.5</v>
      </c>
      <c r="O182" s="37" t="s">
        <v>77</v>
      </c>
      <c r="P182" s="164">
        <v>23</v>
      </c>
      <c r="Q182" s="43">
        <v>10</v>
      </c>
      <c r="R182" s="53">
        <v>1</v>
      </c>
      <c r="S182" s="53">
        <v>0</v>
      </c>
      <c r="T182" s="38"/>
      <c r="U182" s="38"/>
      <c r="V182" s="38" t="s">
        <v>146</v>
      </c>
      <c r="W182" s="38"/>
      <c r="X182" s="43"/>
      <c r="Y182" s="48"/>
      <c r="Z182" s="66"/>
      <c r="AA182" s="65"/>
      <c r="AB182" s="72" t="s">
        <v>186</v>
      </c>
      <c r="AC182" s="71" t="s">
        <v>187</v>
      </c>
      <c r="AD182" s="71"/>
    </row>
    <row r="183" spans="1:30" ht="18" customHeight="1" x14ac:dyDescent="0.3">
      <c r="A183" s="43" t="s">
        <v>303</v>
      </c>
      <c r="B183" s="43" t="s">
        <v>303</v>
      </c>
      <c r="C183" s="44"/>
      <c r="D183" s="43"/>
      <c r="E183" s="69"/>
      <c r="F183" s="69"/>
      <c r="G183" s="67"/>
      <c r="H183" s="36"/>
      <c r="I183" s="45"/>
      <c r="J183" s="46"/>
      <c r="K183" s="37"/>
      <c r="L183" s="47">
        <v>0.5</v>
      </c>
      <c r="M183" s="37" t="s">
        <v>76</v>
      </c>
      <c r="N183" s="47">
        <v>0.5</v>
      </c>
      <c r="O183" s="37" t="s">
        <v>191</v>
      </c>
      <c r="P183" s="43">
        <v>28</v>
      </c>
      <c r="Q183" s="43">
        <v>15</v>
      </c>
      <c r="R183" s="53">
        <v>1</v>
      </c>
      <c r="S183" s="53">
        <v>0</v>
      </c>
      <c r="T183" s="66"/>
      <c r="U183" s="38"/>
      <c r="V183" s="38"/>
      <c r="W183" s="38"/>
      <c r="X183" s="43"/>
      <c r="Y183" s="48"/>
      <c r="Z183" s="64"/>
      <c r="AA183" s="65"/>
      <c r="AB183" s="87"/>
      <c r="AC183" s="71"/>
    </row>
    <row r="184" spans="1:30" ht="18.75" customHeight="1" x14ac:dyDescent="0.3">
      <c r="A184" s="68" t="s">
        <v>197</v>
      </c>
      <c r="B184" s="68" t="s">
        <v>198</v>
      </c>
      <c r="C184" s="44"/>
      <c r="D184" s="68"/>
      <c r="E184" s="70"/>
      <c r="F184" s="70"/>
      <c r="G184" s="67"/>
      <c r="H184" s="36" t="s">
        <v>199</v>
      </c>
      <c r="I184" s="45">
        <v>4600000</v>
      </c>
      <c r="J184" s="46" t="s">
        <v>74</v>
      </c>
      <c r="K184" s="37" t="s">
        <v>75</v>
      </c>
      <c r="L184" s="165">
        <v>0.5</v>
      </c>
      <c r="M184" s="37" t="s">
        <v>76</v>
      </c>
      <c r="N184" s="165">
        <v>0.5</v>
      </c>
      <c r="O184" s="37" t="s">
        <v>77</v>
      </c>
      <c r="P184" s="166">
        <v>23</v>
      </c>
      <c r="Q184" s="43">
        <v>15</v>
      </c>
      <c r="R184" s="73">
        <v>1</v>
      </c>
      <c r="S184" s="53">
        <v>0</v>
      </c>
      <c r="T184" s="66"/>
      <c r="U184" s="66"/>
      <c r="V184" s="38" t="s">
        <v>146</v>
      </c>
      <c r="W184" s="66"/>
      <c r="X184" s="43"/>
      <c r="Y184" s="66"/>
      <c r="Z184" s="66"/>
      <c r="AA184" s="65"/>
      <c r="AB184" s="87">
        <v>0.13</v>
      </c>
      <c r="AC184" s="71">
        <v>0.13300000000000001</v>
      </c>
    </row>
    <row r="185" spans="1:30" ht="18" customHeight="1" x14ac:dyDescent="0.3">
      <c r="A185" s="43" t="s">
        <v>272</v>
      </c>
      <c r="B185" s="43" t="s">
        <v>273</v>
      </c>
      <c r="C185" s="44"/>
      <c r="D185" s="43" t="s">
        <v>123</v>
      </c>
      <c r="E185" s="69"/>
      <c r="F185" s="69"/>
      <c r="G185" s="67"/>
      <c r="H185" s="78"/>
      <c r="I185" s="45"/>
      <c r="J185" s="80" t="s">
        <v>74</v>
      </c>
      <c r="K185" s="53" t="s">
        <v>75</v>
      </c>
      <c r="L185" s="165">
        <v>0.47</v>
      </c>
      <c r="M185" s="37" t="s">
        <v>76</v>
      </c>
      <c r="N185" s="165">
        <v>0.47</v>
      </c>
      <c r="O185" s="37" t="s">
        <v>191</v>
      </c>
      <c r="P185" s="164">
        <v>25</v>
      </c>
      <c r="Q185" s="43">
        <v>15</v>
      </c>
      <c r="R185" s="53">
        <v>1</v>
      </c>
      <c r="S185" s="53">
        <v>0</v>
      </c>
      <c r="T185" s="38"/>
      <c r="U185" s="38"/>
      <c r="V185" s="38"/>
      <c r="W185" s="38"/>
      <c r="X185" s="43"/>
      <c r="Y185" s="48"/>
      <c r="Z185" s="66"/>
      <c r="AA185" s="65"/>
      <c r="AB185" s="72" t="s">
        <v>266</v>
      </c>
      <c r="AC185" s="71" t="s">
        <v>266</v>
      </c>
    </row>
    <row r="186" spans="1:30" ht="18" customHeight="1" x14ac:dyDescent="0.3">
      <c r="A186" s="68" t="s">
        <v>207</v>
      </c>
      <c r="B186" s="68" t="s">
        <v>414</v>
      </c>
      <c r="C186" s="44" t="s">
        <v>208</v>
      </c>
      <c r="D186" s="68" t="s">
        <v>100</v>
      </c>
      <c r="E186" s="70" t="s">
        <v>209</v>
      </c>
      <c r="F186" s="70"/>
      <c r="G186" s="67"/>
      <c r="H186" s="36" t="s">
        <v>210</v>
      </c>
      <c r="I186" s="45"/>
      <c r="J186" s="46" t="s">
        <v>74</v>
      </c>
      <c r="K186" s="37" t="s">
        <v>75</v>
      </c>
      <c r="L186" s="165">
        <v>0.5</v>
      </c>
      <c r="M186" s="37" t="s">
        <v>77</v>
      </c>
      <c r="N186" s="165">
        <v>0.5</v>
      </c>
      <c r="O186" s="37" t="s">
        <v>77</v>
      </c>
      <c r="P186" s="166">
        <v>25</v>
      </c>
      <c r="Q186" s="43">
        <v>15</v>
      </c>
      <c r="R186" s="73">
        <v>1</v>
      </c>
      <c r="S186" s="53">
        <v>0</v>
      </c>
      <c r="T186" s="66"/>
      <c r="U186" s="66"/>
      <c r="V186" s="38" t="s">
        <v>146</v>
      </c>
      <c r="W186" s="66"/>
      <c r="X186" s="43"/>
      <c r="Y186" s="66"/>
      <c r="Z186" s="66"/>
      <c r="AA186" s="65"/>
      <c r="AB186" s="87">
        <v>0.12</v>
      </c>
      <c r="AC186" s="71">
        <v>0.125</v>
      </c>
    </row>
    <row r="187" spans="1:30" ht="18" customHeight="1" x14ac:dyDescent="0.3">
      <c r="A187" s="43" t="s">
        <v>270</v>
      </c>
      <c r="B187" s="43" t="s">
        <v>271</v>
      </c>
      <c r="C187" s="44"/>
      <c r="D187" s="43" t="s">
        <v>123</v>
      </c>
      <c r="E187" s="69"/>
      <c r="F187" s="69"/>
      <c r="G187" s="67"/>
      <c r="H187" s="78"/>
      <c r="I187" s="45"/>
      <c r="J187" s="80" t="s">
        <v>74</v>
      </c>
      <c r="K187" s="53" t="s">
        <v>75</v>
      </c>
      <c r="L187" s="165">
        <v>0.47</v>
      </c>
      <c r="M187" s="37" t="s">
        <v>76</v>
      </c>
      <c r="N187" s="165">
        <v>0.47</v>
      </c>
      <c r="O187" s="37" t="s">
        <v>191</v>
      </c>
      <c r="P187" s="43">
        <v>28</v>
      </c>
      <c r="Q187" s="43">
        <v>15</v>
      </c>
      <c r="R187" s="53">
        <v>1</v>
      </c>
      <c r="S187" s="53">
        <v>0</v>
      </c>
      <c r="T187" s="38"/>
      <c r="U187" s="38"/>
      <c r="V187" s="38"/>
      <c r="W187" s="38"/>
      <c r="X187" s="43"/>
      <c r="Y187" s="48"/>
      <c r="Z187" s="66"/>
      <c r="AA187" s="65"/>
      <c r="AB187" s="72" t="s">
        <v>266</v>
      </c>
      <c r="AC187" s="71" t="s">
        <v>266</v>
      </c>
    </row>
    <row r="188" spans="1:30" ht="18" customHeight="1" x14ac:dyDescent="0.3">
      <c r="A188" s="43" t="s">
        <v>492</v>
      </c>
      <c r="B188" s="43" t="s">
        <v>492</v>
      </c>
      <c r="C188" s="44"/>
      <c r="D188" s="43"/>
      <c r="E188" s="69"/>
      <c r="F188" s="69"/>
      <c r="G188" s="67"/>
      <c r="H188" s="78"/>
      <c r="I188" s="45"/>
      <c r="J188" s="80"/>
      <c r="K188" s="53"/>
      <c r="L188" s="165">
        <v>0.4</v>
      </c>
      <c r="M188" s="37" t="s">
        <v>76</v>
      </c>
      <c r="N188" s="165">
        <v>0.4</v>
      </c>
      <c r="O188" s="37" t="s">
        <v>76</v>
      </c>
      <c r="P188" s="43">
        <v>15</v>
      </c>
      <c r="Q188" s="43">
        <v>10</v>
      </c>
      <c r="R188" s="53">
        <v>1</v>
      </c>
      <c r="S188" s="53">
        <v>0</v>
      </c>
      <c r="T188" s="38"/>
      <c r="U188" s="38"/>
      <c r="V188" s="38"/>
      <c r="W188" s="38"/>
      <c r="X188" s="43"/>
      <c r="Y188" s="48"/>
      <c r="Z188" s="66"/>
      <c r="AA188" s="65"/>
      <c r="AB188" s="72"/>
      <c r="AC188" s="71"/>
    </row>
    <row r="189" spans="1:30" ht="18" customHeight="1" x14ac:dyDescent="0.3">
      <c r="A189" s="68" t="s">
        <v>514</v>
      </c>
      <c r="B189" s="68" t="s">
        <v>514</v>
      </c>
      <c r="C189" s="44"/>
      <c r="D189" s="68"/>
      <c r="E189" s="70"/>
      <c r="F189" s="68"/>
      <c r="G189" s="67"/>
      <c r="H189" s="36"/>
      <c r="I189" s="45"/>
      <c r="J189" s="46"/>
      <c r="K189" s="37"/>
      <c r="L189" s="165">
        <v>0.5</v>
      </c>
      <c r="M189" s="37" t="s">
        <v>77</v>
      </c>
      <c r="N189" s="165">
        <v>0.5</v>
      </c>
      <c r="O189" s="37" t="s">
        <v>77</v>
      </c>
      <c r="P189" s="66">
        <v>28</v>
      </c>
      <c r="Q189" s="43">
        <v>17</v>
      </c>
      <c r="R189" s="73">
        <v>1</v>
      </c>
      <c r="S189" s="53"/>
      <c r="T189" s="66"/>
      <c r="U189" s="66"/>
      <c r="V189" s="38"/>
      <c r="W189" s="66"/>
      <c r="X189" s="43"/>
      <c r="Y189" s="66"/>
      <c r="Z189" s="66"/>
      <c r="AA189" s="65"/>
      <c r="AB189" s="72"/>
      <c r="AC189" s="71"/>
    </row>
    <row r="190" spans="1:30" ht="18" customHeight="1" x14ac:dyDescent="0.3">
      <c r="A190" s="43" t="s">
        <v>269</v>
      </c>
      <c r="B190" s="43" t="s">
        <v>293</v>
      </c>
      <c r="C190" s="44"/>
      <c r="D190" s="43" t="s">
        <v>123</v>
      </c>
      <c r="E190" s="69"/>
      <c r="F190" s="69"/>
      <c r="G190" s="67"/>
      <c r="H190" s="78"/>
      <c r="I190" s="45"/>
      <c r="J190" s="80" t="s">
        <v>74</v>
      </c>
      <c r="K190" s="53" t="s">
        <v>75</v>
      </c>
      <c r="L190" s="47">
        <v>0.5</v>
      </c>
      <c r="M190" s="37" t="s">
        <v>76</v>
      </c>
      <c r="N190" s="47">
        <v>0.5</v>
      </c>
      <c r="O190" s="37" t="s">
        <v>191</v>
      </c>
      <c r="P190" s="43">
        <v>27</v>
      </c>
      <c r="Q190" s="43">
        <v>15</v>
      </c>
      <c r="R190" s="53">
        <v>1</v>
      </c>
      <c r="S190" s="53">
        <v>0</v>
      </c>
      <c r="T190" s="38"/>
      <c r="U190" s="38"/>
      <c r="V190" s="38"/>
      <c r="W190" s="38"/>
      <c r="X190" s="43"/>
      <c r="Y190" s="48"/>
      <c r="Z190" s="66"/>
      <c r="AA190" s="65"/>
      <c r="AB190" s="72" t="s">
        <v>266</v>
      </c>
      <c r="AC190" s="71" t="s">
        <v>266</v>
      </c>
    </row>
    <row r="191" spans="1:30" ht="18" customHeight="1" x14ac:dyDescent="0.3">
      <c r="A191" s="68" t="s">
        <v>171</v>
      </c>
      <c r="B191" s="43" t="s">
        <v>171</v>
      </c>
      <c r="C191" s="44"/>
      <c r="D191" s="43" t="s">
        <v>123</v>
      </c>
      <c r="E191" s="70" t="s">
        <v>164</v>
      </c>
      <c r="F191" s="68" t="s">
        <v>172</v>
      </c>
      <c r="G191" s="67">
        <v>43040</v>
      </c>
      <c r="H191" s="36" t="s">
        <v>173</v>
      </c>
      <c r="I191" s="45"/>
      <c r="J191" s="46" t="s">
        <v>74</v>
      </c>
      <c r="K191" s="37" t="s">
        <v>75</v>
      </c>
      <c r="L191" s="47">
        <v>0.5</v>
      </c>
      <c r="M191" s="37" t="s">
        <v>76</v>
      </c>
      <c r="N191" s="47">
        <v>0.5</v>
      </c>
      <c r="O191" s="37" t="s">
        <v>77</v>
      </c>
      <c r="P191" s="66">
        <v>20</v>
      </c>
      <c r="Q191" s="43">
        <v>17</v>
      </c>
      <c r="R191" s="53">
        <v>1</v>
      </c>
      <c r="S191" s="53">
        <v>0</v>
      </c>
      <c r="T191" s="66"/>
      <c r="U191" s="66"/>
      <c r="V191" s="38" t="s">
        <v>156</v>
      </c>
      <c r="W191" s="66"/>
      <c r="X191" s="43"/>
      <c r="Y191" s="66"/>
      <c r="Z191" s="66"/>
      <c r="AA191" s="65"/>
      <c r="AB191" s="72">
        <v>0.125</v>
      </c>
      <c r="AC191" s="71">
        <v>0.13500000000000001</v>
      </c>
    </row>
    <row r="192" spans="1:30" ht="18" customHeight="1" x14ac:dyDescent="0.3">
      <c r="A192" s="68" t="s">
        <v>435</v>
      </c>
      <c r="B192" s="68" t="s">
        <v>508</v>
      </c>
      <c r="C192" s="44"/>
      <c r="D192" s="68"/>
      <c r="E192" s="70"/>
      <c r="F192" s="68"/>
      <c r="G192" s="67"/>
      <c r="H192" s="36"/>
      <c r="I192" s="45"/>
      <c r="J192" s="46"/>
      <c r="K192" s="37"/>
      <c r="L192" s="165">
        <v>0.5</v>
      </c>
      <c r="M192" s="37" t="s">
        <v>77</v>
      </c>
      <c r="N192" s="165">
        <v>0.5</v>
      </c>
      <c r="O192" s="37" t="s">
        <v>77</v>
      </c>
      <c r="P192" s="66">
        <v>24</v>
      </c>
      <c r="Q192" s="43">
        <v>10</v>
      </c>
      <c r="R192" s="73">
        <v>1</v>
      </c>
      <c r="S192" s="53"/>
      <c r="T192" s="66"/>
      <c r="U192" s="66"/>
      <c r="V192" s="38"/>
      <c r="W192" s="66"/>
      <c r="X192" s="43"/>
      <c r="Y192" s="66"/>
      <c r="Z192" s="66"/>
      <c r="AA192" s="65"/>
      <c r="AB192" s="199"/>
      <c r="AC192" s="71"/>
    </row>
    <row r="193" spans="7:27" x14ac:dyDescent="0.3">
      <c r="G193" s="57"/>
      <c r="H193" s="58"/>
      <c r="I193" s="59"/>
      <c r="J193" s="60"/>
      <c r="K193" s="61"/>
      <c r="L193" s="62"/>
      <c r="M193" s="61"/>
      <c r="N193" s="62"/>
      <c r="O193" s="61"/>
      <c r="Q193" s="63"/>
      <c r="X193" s="39"/>
      <c r="AA193" s="51"/>
    </row>
  </sheetData>
  <sortState ref="A2:AD155">
    <sortCondition ref="B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105"/>
  <sheetViews>
    <sheetView topLeftCell="A28" workbookViewId="0">
      <selection activeCell="A35" sqref="A35:A36"/>
    </sheetView>
  </sheetViews>
  <sheetFormatPr baseColWidth="10" defaultColWidth="11.44140625" defaultRowHeight="14.4" x14ac:dyDescent="0.3"/>
  <cols>
    <col min="1" max="1" width="69.77734375" bestFit="1" customWidth="1"/>
  </cols>
  <sheetData>
    <row r="1" spans="1:1" x14ac:dyDescent="0.3">
      <c r="A1" t="s">
        <v>587</v>
      </c>
    </row>
    <row r="2" spans="1:1" x14ac:dyDescent="0.3">
      <c r="A2" t="s">
        <v>588</v>
      </c>
    </row>
    <row r="3" spans="1:1" x14ac:dyDescent="0.3">
      <c r="A3" t="s">
        <v>574</v>
      </c>
    </row>
    <row r="4" spans="1:1" x14ac:dyDescent="0.3">
      <c r="A4" t="s">
        <v>575</v>
      </c>
    </row>
    <row r="5" spans="1:1" x14ac:dyDescent="0.3">
      <c r="A5" t="s">
        <v>604</v>
      </c>
    </row>
    <row r="6" spans="1:1" x14ac:dyDescent="0.3">
      <c r="A6" t="s">
        <v>605</v>
      </c>
    </row>
    <row r="7" spans="1:1" x14ac:dyDescent="0.3">
      <c r="A7" t="s">
        <v>620</v>
      </c>
    </row>
    <row r="8" spans="1:1" x14ac:dyDescent="0.3">
      <c r="A8" t="s">
        <v>400</v>
      </c>
    </row>
    <row r="9" spans="1:1" x14ac:dyDescent="0.3">
      <c r="A9" t="s">
        <v>533</v>
      </c>
    </row>
    <row r="10" spans="1:1" x14ac:dyDescent="0.3">
      <c r="A10" t="s">
        <v>534</v>
      </c>
    </row>
    <row r="11" spans="1:1" x14ac:dyDescent="0.3">
      <c r="A11" t="s">
        <v>438</v>
      </c>
    </row>
    <row r="12" spans="1:1" x14ac:dyDescent="0.3">
      <c r="A12" t="s">
        <v>439</v>
      </c>
    </row>
    <row r="13" spans="1:1" x14ac:dyDescent="0.3">
      <c r="A13" t="s">
        <v>459</v>
      </c>
    </row>
    <row r="14" spans="1:1" x14ac:dyDescent="0.3">
      <c r="A14" t="s">
        <v>460</v>
      </c>
    </row>
    <row r="15" spans="1:1" x14ac:dyDescent="0.3">
      <c r="A15" t="s">
        <v>577</v>
      </c>
    </row>
    <row r="16" spans="1:1" x14ac:dyDescent="0.3">
      <c r="A16" t="s">
        <v>578</v>
      </c>
    </row>
    <row r="17" spans="1:1" x14ac:dyDescent="0.3">
      <c r="A17" t="s">
        <v>515</v>
      </c>
    </row>
    <row r="18" spans="1:1" x14ac:dyDescent="0.3">
      <c r="A18" t="s">
        <v>516</v>
      </c>
    </row>
    <row r="19" spans="1:1" x14ac:dyDescent="0.3">
      <c r="A19" t="s">
        <v>572</v>
      </c>
    </row>
    <row r="20" spans="1:1" x14ac:dyDescent="0.3">
      <c r="A20" t="s">
        <v>571</v>
      </c>
    </row>
    <row r="21" spans="1:1" x14ac:dyDescent="0.3">
      <c r="A21" t="s">
        <v>529</v>
      </c>
    </row>
    <row r="22" spans="1:1" x14ac:dyDescent="0.3">
      <c r="A22" t="s">
        <v>530</v>
      </c>
    </row>
    <row r="23" spans="1:1" x14ac:dyDescent="0.3">
      <c r="A23" t="s">
        <v>525</v>
      </c>
    </row>
    <row r="24" spans="1:1" x14ac:dyDescent="0.3">
      <c r="A24" t="s">
        <v>524</v>
      </c>
    </row>
    <row r="25" spans="1:1" x14ac:dyDescent="0.3">
      <c r="A25" t="s">
        <v>559</v>
      </c>
    </row>
    <row r="26" spans="1:1" x14ac:dyDescent="0.3">
      <c r="A26" t="s">
        <v>560</v>
      </c>
    </row>
    <row r="27" spans="1:1" x14ac:dyDescent="0.3">
      <c r="A27" t="s">
        <v>443</v>
      </c>
    </row>
    <row r="28" spans="1:1" x14ac:dyDescent="0.3">
      <c r="A28" t="s">
        <v>442</v>
      </c>
    </row>
    <row r="29" spans="1:1" x14ac:dyDescent="0.3">
      <c r="A29" t="s">
        <v>603</v>
      </c>
    </row>
    <row r="30" spans="1:1" x14ac:dyDescent="0.3">
      <c r="A30" t="s">
        <v>602</v>
      </c>
    </row>
    <row r="31" spans="1:1" x14ac:dyDescent="0.3">
      <c r="A31" t="s">
        <v>582</v>
      </c>
    </row>
    <row r="32" spans="1:1" x14ac:dyDescent="0.3">
      <c r="A32" t="s">
        <v>583</v>
      </c>
    </row>
    <row r="33" spans="1:1" x14ac:dyDescent="0.3">
      <c r="A33" t="s">
        <v>584</v>
      </c>
    </row>
    <row r="34" spans="1:1" x14ac:dyDescent="0.3">
      <c r="A34" t="s">
        <v>585</v>
      </c>
    </row>
    <row r="35" spans="1:1" x14ac:dyDescent="0.3">
      <c r="A35" t="s">
        <v>627</v>
      </c>
    </row>
    <row r="36" spans="1:1" x14ac:dyDescent="0.3">
      <c r="A36" t="s">
        <v>628</v>
      </c>
    </row>
    <row r="37" spans="1:1" x14ac:dyDescent="0.3">
      <c r="A37" t="s">
        <v>498</v>
      </c>
    </row>
    <row r="38" spans="1:1" x14ac:dyDescent="0.3">
      <c r="A38" t="s">
        <v>499</v>
      </c>
    </row>
    <row r="39" spans="1:1" x14ac:dyDescent="0.3">
      <c r="A39" t="s">
        <v>557</v>
      </c>
    </row>
    <row r="40" spans="1:1" x14ac:dyDescent="0.3">
      <c r="A40" t="s">
        <v>558</v>
      </c>
    </row>
    <row r="41" spans="1:1" x14ac:dyDescent="0.3">
      <c r="A41" t="s">
        <v>594</v>
      </c>
    </row>
    <row r="42" spans="1:1" x14ac:dyDescent="0.3">
      <c r="A42" t="s">
        <v>593</v>
      </c>
    </row>
    <row r="43" spans="1:1" x14ac:dyDescent="0.3">
      <c r="A43" t="s">
        <v>624</v>
      </c>
    </row>
    <row r="44" spans="1:1" x14ac:dyDescent="0.3">
      <c r="A44" t="s">
        <v>625</v>
      </c>
    </row>
    <row r="45" spans="1:1" x14ac:dyDescent="0.3">
      <c r="A45" t="s">
        <v>506</v>
      </c>
    </row>
    <row r="46" spans="1:1" x14ac:dyDescent="0.3">
      <c r="A46" t="s">
        <v>507</v>
      </c>
    </row>
    <row r="47" spans="1:1" x14ac:dyDescent="0.3">
      <c r="A47" t="s">
        <v>618</v>
      </c>
    </row>
    <row r="48" spans="1:1" x14ac:dyDescent="0.3">
      <c r="A48" t="s">
        <v>619</v>
      </c>
    </row>
    <row r="49" spans="1:1" x14ac:dyDescent="0.3">
      <c r="A49" t="s">
        <v>444</v>
      </c>
    </row>
    <row r="50" spans="1:1" x14ac:dyDescent="0.3">
      <c r="A50" t="s">
        <v>445</v>
      </c>
    </row>
    <row r="51" spans="1:1" x14ac:dyDescent="0.3">
      <c r="A51" t="s">
        <v>536</v>
      </c>
    </row>
    <row r="52" spans="1:1" x14ac:dyDescent="0.3">
      <c r="A52" t="s">
        <v>537</v>
      </c>
    </row>
    <row r="53" spans="1:1" x14ac:dyDescent="0.3">
      <c r="A53" t="s">
        <v>496</v>
      </c>
    </row>
    <row r="54" spans="1:1" x14ac:dyDescent="0.3">
      <c r="A54" t="s">
        <v>497</v>
      </c>
    </row>
    <row r="55" spans="1:1" x14ac:dyDescent="0.3">
      <c r="A55" t="s">
        <v>565</v>
      </c>
    </row>
    <row r="56" spans="1:1" x14ac:dyDescent="0.3">
      <c r="A56" t="s">
        <v>566</v>
      </c>
    </row>
    <row r="57" spans="1:1" x14ac:dyDescent="0.3">
      <c r="A57" t="s">
        <v>597</v>
      </c>
    </row>
    <row r="58" spans="1:1" x14ac:dyDescent="0.3">
      <c r="A58" t="s">
        <v>598</v>
      </c>
    </row>
    <row r="59" spans="1:1" x14ac:dyDescent="0.3">
      <c r="A59" t="s">
        <v>473</v>
      </c>
    </row>
    <row r="60" spans="1:1" x14ac:dyDescent="0.3">
      <c r="A60" t="s">
        <v>428</v>
      </c>
    </row>
    <row r="61" spans="1:1" x14ac:dyDescent="0.3">
      <c r="A61" t="s">
        <v>429</v>
      </c>
    </row>
    <row r="62" spans="1:1" x14ac:dyDescent="0.3">
      <c r="A62" t="s">
        <v>430</v>
      </c>
    </row>
    <row r="63" spans="1:1" x14ac:dyDescent="0.3">
      <c r="A63" t="s">
        <v>426</v>
      </c>
    </row>
    <row r="64" spans="1:1" x14ac:dyDescent="0.3">
      <c r="A64" t="s">
        <v>427</v>
      </c>
    </row>
    <row r="65" spans="1:1" x14ac:dyDescent="0.3">
      <c r="A65" t="s">
        <v>425</v>
      </c>
    </row>
    <row r="66" spans="1:1" x14ac:dyDescent="0.3">
      <c r="A66" t="s">
        <v>622</v>
      </c>
    </row>
    <row r="67" spans="1:1" x14ac:dyDescent="0.3">
      <c r="A67" t="s">
        <v>410</v>
      </c>
    </row>
    <row r="68" spans="1:1" x14ac:dyDescent="0.3">
      <c r="A68" t="s">
        <v>411</v>
      </c>
    </row>
    <row r="69" spans="1:1" x14ac:dyDescent="0.3">
      <c r="A69" t="s">
        <v>549</v>
      </c>
    </row>
    <row r="70" spans="1:1" x14ac:dyDescent="0.3">
      <c r="A70" t="s">
        <v>550</v>
      </c>
    </row>
    <row r="71" spans="1:1" x14ac:dyDescent="0.3">
      <c r="A71" t="s">
        <v>551</v>
      </c>
    </row>
    <row r="72" spans="1:1" x14ac:dyDescent="0.3">
      <c r="A72" t="s">
        <v>446</v>
      </c>
    </row>
    <row r="73" spans="1:1" x14ac:dyDescent="0.3">
      <c r="A73" t="s">
        <v>447</v>
      </c>
    </row>
    <row r="74" spans="1:1" x14ac:dyDescent="0.3">
      <c r="A74" t="s">
        <v>353</v>
      </c>
    </row>
    <row r="75" spans="1:1" x14ac:dyDescent="0.3">
      <c r="A75" t="s">
        <v>419</v>
      </c>
    </row>
    <row r="76" spans="1:1" x14ac:dyDescent="0.3">
      <c r="A76" t="s">
        <v>420</v>
      </c>
    </row>
    <row r="77" spans="1:1" x14ac:dyDescent="0.3">
      <c r="A77" t="s">
        <v>421</v>
      </c>
    </row>
    <row r="78" spans="1:1" x14ac:dyDescent="0.3">
      <c r="A78" t="s">
        <v>423</v>
      </c>
    </row>
    <row r="79" spans="1:1" x14ac:dyDescent="0.3">
      <c r="A79" t="s">
        <v>422</v>
      </c>
    </row>
    <row r="80" spans="1:1" x14ac:dyDescent="0.3">
      <c r="A80" t="s">
        <v>424</v>
      </c>
    </row>
    <row r="81" spans="1:1" x14ac:dyDescent="0.3">
      <c r="A81" t="s">
        <v>436</v>
      </c>
    </row>
    <row r="82" spans="1:1" x14ac:dyDescent="0.3">
      <c r="A82" t="s">
        <v>437</v>
      </c>
    </row>
    <row r="83" spans="1:1" x14ac:dyDescent="0.3">
      <c r="A83" t="s">
        <v>434</v>
      </c>
    </row>
    <row r="84" spans="1:1" x14ac:dyDescent="0.3">
      <c r="A84" t="s">
        <v>433</v>
      </c>
    </row>
    <row r="85" spans="1:1" x14ac:dyDescent="0.3">
      <c r="A85" t="s">
        <v>606</v>
      </c>
    </row>
    <row r="86" spans="1:1" x14ac:dyDescent="0.3">
      <c r="A86" t="s">
        <v>607</v>
      </c>
    </row>
    <row r="87" spans="1:1" x14ac:dyDescent="0.3">
      <c r="A87" t="s">
        <v>500</v>
      </c>
    </row>
    <row r="88" spans="1:1" x14ac:dyDescent="0.3">
      <c r="A88" t="s">
        <v>501</v>
      </c>
    </row>
    <row r="89" spans="1:1" x14ac:dyDescent="0.3">
      <c r="A89" t="s">
        <v>504</v>
      </c>
    </row>
    <row r="90" spans="1:1" x14ac:dyDescent="0.3">
      <c r="A90" t="s">
        <v>505</v>
      </c>
    </row>
    <row r="91" spans="1:1" x14ac:dyDescent="0.3">
      <c r="A91" t="s">
        <v>610</v>
      </c>
    </row>
    <row r="92" spans="1:1" x14ac:dyDescent="0.3">
      <c r="A92" t="s">
        <v>611</v>
      </c>
    </row>
    <row r="93" spans="1:1" x14ac:dyDescent="0.3">
      <c r="A93" t="s">
        <v>567</v>
      </c>
    </row>
    <row r="94" spans="1:1" x14ac:dyDescent="0.3">
      <c r="A94" t="s">
        <v>568</v>
      </c>
    </row>
    <row r="95" spans="1:1" x14ac:dyDescent="0.3">
      <c r="A95" t="s">
        <v>579</v>
      </c>
    </row>
    <row r="96" spans="1:1" x14ac:dyDescent="0.3">
      <c r="A96" t="s">
        <v>580</v>
      </c>
    </row>
    <row r="97" spans="1:1" x14ac:dyDescent="0.3">
      <c r="A97" t="s">
        <v>542</v>
      </c>
    </row>
    <row r="98" spans="1:1" x14ac:dyDescent="0.3">
      <c r="A98" t="s">
        <v>543</v>
      </c>
    </row>
    <row r="99" spans="1:1" x14ac:dyDescent="0.3">
      <c r="A99" t="s">
        <v>519</v>
      </c>
    </row>
    <row r="100" spans="1:1" x14ac:dyDescent="0.3">
      <c r="A100" t="s">
        <v>520</v>
      </c>
    </row>
    <row r="101" spans="1:1" x14ac:dyDescent="0.3">
      <c r="A101" t="s">
        <v>502</v>
      </c>
    </row>
    <row r="102" spans="1:1" x14ac:dyDescent="0.3">
      <c r="A102" t="s">
        <v>503</v>
      </c>
    </row>
    <row r="103" spans="1:1" x14ac:dyDescent="0.3">
      <c r="A103" t="s">
        <v>463</v>
      </c>
    </row>
    <row r="104" spans="1:1" x14ac:dyDescent="0.3">
      <c r="A104" t="s">
        <v>464</v>
      </c>
    </row>
    <row r="105" spans="1:1" x14ac:dyDescent="0.3">
      <c r="A105" t="s">
        <v>357</v>
      </c>
    </row>
  </sheetData>
  <sortState ref="A1:A40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General</vt:lpstr>
      <vt:lpstr>Cronograma</vt:lpstr>
      <vt:lpstr>BD</vt:lpstr>
      <vt:lpstr>Cargos</vt:lpstr>
      <vt:lpstr>Cronograma!Área_de_impresión</vt:lpstr>
      <vt:lpstr>BJudicial</vt:lpstr>
      <vt:lpstr>LISTA</vt:lpstr>
      <vt:lpstr>LISTA2</vt:lpstr>
      <vt:lpstr>Cronograma!Títulos_a_imprimir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EDUARDO MARTIN MEZA PEREZ</cp:lastModifiedBy>
  <cp:lastPrinted>2024-01-15T21:21:05Z</cp:lastPrinted>
  <dcterms:created xsi:type="dcterms:W3CDTF">2012-04-12T21:34:31Z</dcterms:created>
  <dcterms:modified xsi:type="dcterms:W3CDTF">2025-02-07T19:41:26Z</dcterms:modified>
</cp:coreProperties>
</file>